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yaga\Desktop\Excel Applications\"/>
    </mc:Choice>
  </mc:AlternateContent>
  <xr:revisionPtr revIDLastSave="0" documentId="13_ncr:1_{2F2C5108-5221-46F2-B840-B59E403C127D}" xr6:coauthVersionLast="47" xr6:coauthVersionMax="47" xr10:uidLastSave="{00000000-0000-0000-0000-000000000000}"/>
  <workbookProtection workbookAlgorithmName="SHA-512" workbookHashValue="sNkoO0MZvFxHBEZSZk8UQhdphOj+wV1ayIiuMqh5LgdnECe8KglQzP74tZCE1DSeHVIqZ7RohoOQYdKD/ShuOQ==" workbookSaltValue="Q3v5AL1IxJCeRbu7JUWP1g==" workbookSpinCount="100000" lockStructure="1"/>
  <bookViews>
    <workbookView xWindow="-108" yWindow="-108" windowWidth="23256" windowHeight="12456" xr2:uid="{00000000-000D-0000-FFFF-FFFF00000000}"/>
  </bookViews>
  <sheets>
    <sheet name="Abstract" sheetId="4" r:id="rId1"/>
    <sheet name="Thrust Block Design" sheetId="5" r:id="rId2"/>
    <sheet name="Database" sheetId="3" state="hidden" r:id="rId3"/>
  </sheets>
  <definedNames>
    <definedName name="Design_Data">Abstract!$A$19:$Y$38</definedName>
    <definedName name="Post_Decadal_Population">#REF!</definedName>
    <definedName name="_xlnm.Print_Area" localSheetId="0">Abstract!$B$1:$Y$38</definedName>
    <definedName name="Soil_Cohesion">Database!$A$10:$B$14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4" i="5" l="1"/>
  <c r="I31" i="5"/>
  <c r="I30" i="5"/>
  <c r="I29" i="5"/>
  <c r="I28" i="5"/>
  <c r="I25" i="5"/>
  <c r="I24" i="5"/>
  <c r="I23" i="5"/>
  <c r="I22" i="5"/>
  <c r="I16" i="5"/>
  <c r="F16" i="5"/>
  <c r="I20" i="5"/>
  <c r="I18" i="5"/>
  <c r="I17" i="5"/>
  <c r="I15" i="5"/>
  <c r="C18" i="4"/>
  <c r="D18" i="4"/>
  <c r="E18" i="4"/>
  <c r="F18" i="4"/>
  <c r="G18" i="4"/>
  <c r="H18" i="4"/>
  <c r="I18" i="4"/>
  <c r="J18" i="4" s="1"/>
  <c r="K18" i="4" s="1"/>
  <c r="L18" i="4" s="1"/>
  <c r="M18" i="4" s="1"/>
  <c r="N18" i="4" s="1"/>
  <c r="O18" i="4" s="1"/>
  <c r="P18" i="4" s="1"/>
  <c r="Q18" i="4" s="1"/>
  <c r="R18" i="4" s="1"/>
  <c r="S18" i="4" s="1"/>
  <c r="T18" i="4" s="1"/>
  <c r="U18" i="4" s="1"/>
  <c r="V18" i="4" s="1"/>
  <c r="W18" i="4" s="1"/>
  <c r="X18" i="4" s="1"/>
  <c r="Y18" i="4" s="1"/>
  <c r="B18" i="4"/>
  <c r="C5" i="5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R10" i="4"/>
  <c r="S10" i="4" s="1"/>
  <c r="L19" i="4"/>
  <c r="M19" i="4" s="1"/>
  <c r="I10" i="4"/>
  <c r="G9" i="5" s="1"/>
  <c r="E10" i="4"/>
  <c r="G8" i="5" s="1"/>
  <c r="O19" i="4"/>
  <c r="P19" i="4" s="1"/>
  <c r="J4" i="4"/>
  <c r="P10" i="4" s="1"/>
  <c r="P11" i="4" s="1"/>
  <c r="D13" i="5" s="1"/>
  <c r="G19" i="4"/>
  <c r="C19" i="4"/>
  <c r="D19" i="4" s="1"/>
  <c r="I19" i="4" s="1"/>
  <c r="J6" i="4"/>
  <c r="G6" i="5" s="1"/>
  <c r="H5" i="4"/>
  <c r="J5" i="4" s="1"/>
  <c r="J3" i="4"/>
  <c r="G3" i="5" s="1"/>
  <c r="F31" i="5" l="1"/>
  <c r="G34" i="5"/>
  <c r="F29" i="5"/>
  <c r="F30" i="5"/>
  <c r="F28" i="5"/>
  <c r="F20" i="5"/>
  <c r="G4" i="5"/>
  <c r="V19" i="4"/>
  <c r="I38" i="5" s="1"/>
  <c r="F43" i="5" s="1"/>
  <c r="A19" i="4"/>
  <c r="G5" i="5"/>
  <c r="D12" i="5"/>
  <c r="Z19" i="4"/>
  <c r="W19" i="4"/>
  <c r="I42" i="5" s="1"/>
  <c r="S19" i="4"/>
  <c r="Q19" i="4"/>
  <c r="R19" i="4"/>
  <c r="H19" i="4"/>
  <c r="J19" i="4" s="1"/>
  <c r="K19" i="4" s="1"/>
  <c r="B38" i="5" l="1"/>
  <c r="D42" i="5"/>
  <c r="T19" i="4"/>
  <c r="U19" i="4" s="1"/>
  <c r="X19" i="4" s="1"/>
  <c r="Y19" i="4" l="1"/>
  <c r="I45" i="5" s="1"/>
  <c r="B47" i="5" s="1"/>
  <c r="I43" i="5"/>
</calcChain>
</file>

<file path=xl/sharedStrings.xml><?xml version="1.0" encoding="utf-8"?>
<sst xmlns="http://schemas.openxmlformats.org/spreadsheetml/2006/main" count="179" uniqueCount="111">
  <si>
    <t>Data Input Cell</t>
  </si>
  <si>
    <t>Legend</t>
  </si>
  <si>
    <t>=</t>
  </si>
  <si>
    <t>Thurst Force =</t>
  </si>
  <si>
    <t>tonnes</t>
  </si>
  <si>
    <t>kg/cum</t>
  </si>
  <si>
    <t>tonne/cum</t>
  </si>
  <si>
    <t>Soil Parameters</t>
  </si>
  <si>
    <t>cm</t>
  </si>
  <si>
    <t>Counteracting Forces</t>
  </si>
  <si>
    <t>m</t>
  </si>
  <si>
    <t>Pipe Material</t>
  </si>
  <si>
    <t>DI</t>
  </si>
  <si>
    <t>Class</t>
  </si>
  <si>
    <t>Internal Dia</t>
  </si>
  <si>
    <t>Wall thickness</t>
  </si>
  <si>
    <t>Pipe Parameters</t>
  </si>
  <si>
    <t>Pipe Materials</t>
  </si>
  <si>
    <t>MS</t>
  </si>
  <si>
    <t>Symbol</t>
  </si>
  <si>
    <t>Description</t>
  </si>
  <si>
    <t>Unit weight of Soil</t>
  </si>
  <si>
    <t>UoM</t>
  </si>
  <si>
    <t>Angle of Internal friction</t>
  </si>
  <si>
    <t>Degrees</t>
  </si>
  <si>
    <t>Value</t>
  </si>
  <si>
    <t>C</t>
  </si>
  <si>
    <t>Type of Soil</t>
  </si>
  <si>
    <t>Cohesion</t>
  </si>
  <si>
    <t>Gravel</t>
  </si>
  <si>
    <t>Sand</t>
  </si>
  <si>
    <t>Silt</t>
  </si>
  <si>
    <t>Dense Clay</t>
  </si>
  <si>
    <t>Soft Saturated Clay</t>
  </si>
  <si>
    <t>radians</t>
  </si>
  <si>
    <t>Coefficient of Soil Friction</t>
  </si>
  <si>
    <r>
      <t>f</t>
    </r>
    <r>
      <rPr>
        <b/>
        <vertAlign val="subscript"/>
        <sz val="11"/>
        <color theme="1"/>
        <rFont val="Calibri"/>
        <family val="2"/>
        <scheme val="minor"/>
      </rPr>
      <t>s</t>
    </r>
  </si>
  <si>
    <t>d</t>
  </si>
  <si>
    <t>α</t>
  </si>
  <si>
    <t>P</t>
  </si>
  <si>
    <t>A</t>
  </si>
  <si>
    <t>F</t>
  </si>
  <si>
    <t xml:space="preserve">Area of Pipe 
</t>
  </si>
  <si>
    <t>mm</t>
  </si>
  <si>
    <t>Pipe Diameter</t>
  </si>
  <si>
    <t xml:space="preserve">Thrust Force </t>
  </si>
  <si>
    <t>kg</t>
  </si>
  <si>
    <t xml:space="preserve">Deviation Angle of Bend </t>
  </si>
  <si>
    <t>Deg</t>
  </si>
  <si>
    <t>Rad</t>
  </si>
  <si>
    <t>tonne</t>
  </si>
  <si>
    <t>Pressure</t>
  </si>
  <si>
    <t>Earth Cushion</t>
  </si>
  <si>
    <t>Ec</t>
  </si>
  <si>
    <t>Concrete Block Dimensions</t>
  </si>
  <si>
    <t>L</t>
  </si>
  <si>
    <t>B</t>
  </si>
  <si>
    <t>H</t>
  </si>
  <si>
    <t>Default Parameters</t>
  </si>
  <si>
    <t>Unit Weight of Concrete</t>
  </si>
  <si>
    <r>
      <t>kg/m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</si>
  <si>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tonnne/m</t>
    </r>
    <r>
      <rPr>
        <vertAlign val="superscript"/>
        <sz val="8"/>
        <color theme="1"/>
        <rFont val="Calibri"/>
        <family val="2"/>
        <scheme val="minor"/>
      </rPr>
      <t>3</t>
    </r>
  </si>
  <si>
    <t>Weight</t>
  </si>
  <si>
    <r>
      <t>W</t>
    </r>
    <r>
      <rPr>
        <b/>
        <vertAlign val="subscript"/>
        <sz val="11"/>
        <color theme="1"/>
        <rFont val="Calibri"/>
        <family val="2"/>
        <scheme val="minor"/>
      </rPr>
      <t>c</t>
    </r>
  </si>
  <si>
    <t>Concrete
Block</t>
  </si>
  <si>
    <t>Unit Weight of Water</t>
  </si>
  <si>
    <r>
      <t>Default Earth Cushion (</t>
    </r>
    <r>
      <rPr>
        <b/>
        <sz val="9"/>
        <color theme="1"/>
        <rFont val="Calibri"/>
        <family val="2"/>
        <scheme val="minor"/>
      </rPr>
      <t>Ec</t>
    </r>
    <r>
      <rPr>
        <sz val="9"/>
        <color theme="1"/>
        <rFont val="Calibri"/>
        <family val="2"/>
        <scheme val="minor"/>
      </rPr>
      <t>)</t>
    </r>
  </si>
  <si>
    <t>Water in Pipe</t>
  </si>
  <si>
    <r>
      <t>W</t>
    </r>
    <r>
      <rPr>
        <b/>
        <vertAlign val="subscript"/>
        <sz val="11"/>
        <color theme="1"/>
        <rFont val="Calibri"/>
        <family val="2"/>
        <scheme val="minor"/>
      </rPr>
      <t>w</t>
    </r>
  </si>
  <si>
    <t>Ws</t>
  </si>
  <si>
    <t>Total</t>
  </si>
  <si>
    <t>W</t>
  </si>
  <si>
    <t>Frictional Resistance of Soil</t>
  </si>
  <si>
    <t>Passive Earth Pressure</t>
  </si>
  <si>
    <t>Active Earth Pressure</t>
  </si>
  <si>
    <r>
      <t xml:space="preserve">Cohesion of Soil
</t>
    </r>
    <r>
      <rPr>
        <sz val="8"/>
        <color theme="1"/>
        <rFont val="Calibri"/>
        <family val="2"/>
        <scheme val="minor"/>
      </rPr>
      <t>(Select soil type)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</si>
  <si>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p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</si>
  <si>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a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</si>
  <si>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s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</si>
  <si>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c</t>
    </r>
  </si>
  <si>
    <t>Formulas</t>
  </si>
  <si>
    <t>Sub-Formula</t>
  </si>
  <si>
    <r>
      <t>kg/cm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</si>
  <si>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</si>
  <si>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</si>
  <si>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Status of Data Entry</t>
  </si>
  <si>
    <t>S.No</t>
  </si>
  <si>
    <r>
      <t>tonne/m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</si>
  <si>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tonnne/m</t>
    </r>
    <r>
      <rPr>
        <vertAlign val="superscript"/>
        <sz val="10"/>
        <color theme="1"/>
        <rFont val="Calibri"/>
        <family val="2"/>
        <scheme val="minor"/>
      </rPr>
      <t>3</t>
    </r>
  </si>
  <si>
    <t>Select Design S.No.</t>
  </si>
  <si>
    <t xml:space="preserve">Area of the pipe </t>
  </si>
  <si>
    <r>
      <t>t/m</t>
    </r>
    <r>
      <rPr>
        <vertAlign val="superscript"/>
        <sz val="11"/>
        <color theme="1"/>
        <rFont val="Calibri"/>
        <family val="2"/>
        <scheme val="minor"/>
      </rPr>
      <t>2</t>
    </r>
  </si>
  <si>
    <t>rad</t>
  </si>
  <si>
    <r>
      <t>m</t>
    </r>
    <r>
      <rPr>
        <vertAlign val="superscript"/>
        <sz val="11"/>
        <color theme="1"/>
        <rFont val="Calibri"/>
        <family val="2"/>
        <scheme val="minor"/>
      </rPr>
      <t>2</t>
    </r>
  </si>
  <si>
    <t xml:space="preserve">Diameter of the pipe </t>
  </si>
  <si>
    <t xml:space="preserve">Internal Pressure in the Pipe  = </t>
  </si>
  <si>
    <t xml:space="preserve">Deviation angle of the bend </t>
  </si>
  <si>
    <t>Length of Concrete Block</t>
  </si>
  <si>
    <t>Width of Concrete Block</t>
  </si>
  <si>
    <t>Height of Concrete Block</t>
  </si>
  <si>
    <t>Weights</t>
  </si>
  <si>
    <t xml:space="preserve">Weight of Concrete Block = </t>
  </si>
  <si>
    <t>Weight of water in the Pipe =</t>
  </si>
  <si>
    <t xml:space="preserve">Weight of Earth Cushion = </t>
  </si>
  <si>
    <t xml:space="preserve">Total Weight = </t>
  </si>
  <si>
    <t xml:space="preserve">Lateral Frictional Resistance of Soil = </t>
  </si>
  <si>
    <t xml:space="preserve">Total Counteracting Forces = </t>
  </si>
  <si>
    <t xml:space="preserve">Factor of Sagety = Total Counteracting Forces/ Horizontal Thrust = </t>
  </si>
  <si>
    <r>
      <t xml:space="preserve">Factor of Safety
</t>
    </r>
    <r>
      <rPr>
        <b/>
        <i/>
        <sz val="11"/>
        <color theme="1"/>
        <rFont val="Calibri"/>
        <family val="2"/>
        <scheme val="minor"/>
      </rPr>
      <t>(F</t>
    </r>
    <r>
      <rPr>
        <b/>
        <i/>
        <vertAlign val="subscript"/>
        <sz val="11"/>
        <color theme="1"/>
        <rFont val="Calibri"/>
        <family val="2"/>
        <scheme val="minor"/>
      </rPr>
      <t>c</t>
    </r>
    <r>
      <rPr>
        <b/>
        <i/>
        <sz val="11"/>
        <color theme="1"/>
        <rFont val="Calibri"/>
        <family val="2"/>
        <scheme val="minor"/>
      </rPr>
      <t>/F)</t>
    </r>
  </si>
  <si>
    <t>As per Clause 6.15 &amp; Annexure 6.8 of CPHEEO manual for Water Supply &amp; Treatment</t>
  </si>
  <si>
    <t>Design of Thrust Blocks as per Clause 6.15 &amp; Annexure 6.8 of CPHEEO Manual for Water Supply and Treatment Systems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</si>
</sst>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bscript"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right"/>
    </xf>
    <xf numFmtId="0" fontId="0" fillId="3" borderId="0" xfId="0" applyFill="1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5" fillId="0" borderId="0" xfId="0" applyFont="1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7" fillId="0" borderId="0" xfId="0" applyFont="1" applyAlignment="1">
      <alignment wrapText="1"/>
    </xf>
    <xf numFmtId="0" fontId="1" fillId="3" borderId="1" xfId="0" applyFont="1" applyFill="1" applyBorder="1" applyAlignment="1">
      <alignment textRotation="90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vertical="top" wrapText="1"/>
    </xf>
    <xf numFmtId="2" fontId="0" fillId="2" borderId="1" xfId="0" applyNumberFormat="1" applyFill="1" applyBorder="1"/>
    <xf numFmtId="0" fontId="0" fillId="5" borderId="1" xfId="0" applyFill="1" applyBorder="1"/>
    <xf numFmtId="0" fontId="0" fillId="4" borderId="1" xfId="0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right"/>
    </xf>
    <xf numFmtId="0" fontId="1" fillId="3" borderId="4" xfId="0" applyFont="1" applyFill="1" applyBorder="1" applyAlignment="1">
      <alignment horizontal="center" vertical="top" wrapText="1"/>
    </xf>
    <xf numFmtId="0" fontId="11" fillId="3" borderId="6" xfId="0" applyFont="1" applyFill="1" applyBorder="1" applyAlignment="1">
      <alignment textRotation="90"/>
    </xf>
    <xf numFmtId="0" fontId="1" fillId="0" borderId="0" xfId="0" applyFont="1" applyAlignment="1">
      <alignment horizontal="center"/>
    </xf>
    <xf numFmtId="0" fontId="0" fillId="3" borderId="1" xfId="0" applyFill="1" applyBorder="1"/>
    <xf numFmtId="0" fontId="12" fillId="0" borderId="1" xfId="0" applyFont="1" applyBorder="1"/>
    <xf numFmtId="0" fontId="11" fillId="3" borderId="0" xfId="0" applyFont="1" applyFill="1" applyAlignment="1">
      <alignment textRotation="90"/>
    </xf>
    <xf numFmtId="0" fontId="1" fillId="3" borderId="0" xfId="0" applyFont="1" applyFill="1" applyAlignment="1">
      <alignment textRotation="90"/>
    </xf>
    <xf numFmtId="0" fontId="0" fillId="2" borderId="0" xfId="0" applyFill="1"/>
    <xf numFmtId="0" fontId="0" fillId="0" borderId="0" xfId="0" applyAlignment="1">
      <alignment horizontal="left"/>
    </xf>
    <xf numFmtId="0" fontId="10" fillId="6" borderId="0" xfId="0" applyFont="1" applyFill="1"/>
    <xf numFmtId="0" fontId="3" fillId="0" borderId="0" xfId="0" applyFont="1"/>
    <xf numFmtId="0" fontId="10" fillId="7" borderId="0" xfId="0" applyFont="1" applyFill="1"/>
    <xf numFmtId="0" fontId="1" fillId="2" borderId="0" xfId="0" applyFont="1" applyFill="1"/>
    <xf numFmtId="0" fontId="0" fillId="4" borderId="0" xfId="0" applyFill="1" applyProtection="1">
      <protection locked="0" hidden="1"/>
    </xf>
    <xf numFmtId="0" fontId="1" fillId="3" borderId="1" xfId="0" applyFont="1" applyFill="1" applyBorder="1" applyAlignment="1">
      <alignment textRotation="90" wrapText="1"/>
    </xf>
    <xf numFmtId="0" fontId="1" fillId="3" borderId="1" xfId="0" applyFont="1" applyFill="1" applyBorder="1" applyAlignment="1">
      <alignment textRotation="90"/>
    </xf>
    <xf numFmtId="0" fontId="1" fillId="0" borderId="1" xfId="0" applyFont="1" applyBorder="1" applyAlignment="1" applyProtection="1">
      <alignment horizontal="center"/>
      <protection hidden="1"/>
    </xf>
    <xf numFmtId="0" fontId="7" fillId="4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textRotation="90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3" borderId="5" xfId="0" applyFill="1" applyBorder="1" applyAlignment="1">
      <alignment textRotation="90"/>
    </xf>
    <xf numFmtId="0" fontId="0" fillId="3" borderId="6" xfId="0" applyFill="1" applyBorder="1" applyAlignment="1">
      <alignment textRotation="90"/>
    </xf>
    <xf numFmtId="0" fontId="3" fillId="0" borderId="0" xfId="0" applyFont="1" applyAlignment="1">
      <alignment horizontal="center"/>
    </xf>
    <xf numFmtId="0" fontId="1" fillId="3" borderId="1" xfId="0" applyFon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0" fillId="4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3" fillId="0" borderId="7" xfId="0" applyFont="1" applyBorder="1" applyAlignment="1">
      <alignment horizontal="center"/>
    </xf>
    <xf numFmtId="0" fontId="0" fillId="0" borderId="1" xfId="0" applyBorder="1"/>
    <xf numFmtId="0" fontId="14" fillId="0" borderId="0" xfId="0" applyFont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 applyAlignment="1">
      <alignment wrapText="1"/>
    </xf>
    <xf numFmtId="0" fontId="0" fillId="0" borderId="11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12" xfId="0" applyFont="1" applyBorder="1" applyAlignment="1">
      <alignment wrapText="1"/>
    </xf>
    <xf numFmtId="0" fontId="0" fillId="0" borderId="13" xfId="0" applyFont="1" applyBorder="1" applyAlignment="1">
      <alignment wrapText="1"/>
    </xf>
    <xf numFmtId="0" fontId="0" fillId="0" borderId="14" xfId="0" applyFont="1" applyBorder="1" applyAlignment="1">
      <alignment wrapText="1"/>
    </xf>
    <xf numFmtId="0" fontId="0" fillId="0" borderId="15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1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</cellXfs>
  <cellStyles count="1">
    <cellStyle name="Normal" xfId="0" builtinId="0"/>
  </cellStyles>
  <dxfs count="8">
    <dxf>
      <font>
        <color theme="0"/>
      </font>
      <fill>
        <patternFill>
          <bgColor theme="9" tint="-0.2499465926084170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9" tint="0.39994506668294322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9" tint="-0.2499465926084170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rgb="FFFF000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1</xdr:row>
      <xdr:rowOff>171450</xdr:rowOff>
    </xdr:from>
    <xdr:to>
      <xdr:col>6</xdr:col>
      <xdr:colOff>418973</xdr:colOff>
      <xdr:row>2</xdr:row>
      <xdr:rowOff>176442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F143BCF9-1ED9-9EC8-AE2F-C31EF52C13F6}"/>
                </a:ext>
              </a:extLst>
            </xdr:cNvPr>
            <xdr:cNvSpPr txBox="1"/>
          </xdr:nvSpPr>
          <xdr:spPr>
            <a:xfrm>
              <a:off x="228600" y="537210"/>
              <a:ext cx="190373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2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2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𝜸</m:t>
                        </m:r>
                      </m:e>
                      <m:sub>
                        <m:r>
                          <a:rPr lang="en-IN" sz="12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</m:oMath>
                </m:oMathPara>
              </a14:m>
              <a:endParaRPr lang="en-IN" sz="1200" b="1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F143BCF9-1ED9-9EC8-AE2F-C31EF52C13F6}"/>
                </a:ext>
              </a:extLst>
            </xdr:cNvPr>
            <xdr:cNvSpPr txBox="1"/>
          </xdr:nvSpPr>
          <xdr:spPr>
            <a:xfrm>
              <a:off x="228600" y="537210"/>
              <a:ext cx="190373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IN" sz="12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𝜸_</a:t>
              </a:r>
              <a:r>
                <a:rPr lang="en-IN" sz="1200" b="1" i="0">
                  <a:latin typeface="Cambria Math" panose="02040503050406030204" pitchFamily="18" charset="0"/>
                </a:rPr>
                <a:t>𝒔</a:t>
              </a:r>
              <a:endParaRPr lang="en-IN" sz="1200" b="1"/>
            </a:p>
          </xdr:txBody>
        </xdr:sp>
      </mc:Fallback>
    </mc:AlternateContent>
    <xdr:clientData/>
  </xdr:twoCellAnchor>
  <xdr:oneCellAnchor>
    <xdr:from>
      <xdr:col>6</xdr:col>
      <xdr:colOff>213360</xdr:colOff>
      <xdr:row>2</xdr:row>
      <xdr:rowOff>179070</xdr:rowOff>
    </xdr:from>
    <xdr:ext cx="130869" cy="187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B5FF9C5D-C03B-DD46-AEFF-B55CC365B4C6}"/>
                </a:ext>
              </a:extLst>
            </xdr:cNvPr>
            <xdr:cNvSpPr txBox="1"/>
          </xdr:nvSpPr>
          <xdr:spPr>
            <a:xfrm>
              <a:off x="213360" y="727710"/>
              <a:ext cx="130869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IN" sz="12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𝜽</m:t>
                    </m:r>
                  </m:oMath>
                </m:oMathPara>
              </a14:m>
              <a:endParaRPr lang="en-IN" sz="1200" b="1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B5FF9C5D-C03B-DD46-AEFF-B55CC365B4C6}"/>
                </a:ext>
              </a:extLst>
            </xdr:cNvPr>
            <xdr:cNvSpPr txBox="1"/>
          </xdr:nvSpPr>
          <xdr:spPr>
            <a:xfrm>
              <a:off x="213360" y="727710"/>
              <a:ext cx="130869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2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𝜽</a:t>
              </a:r>
              <a:endParaRPr lang="en-IN" sz="1200" b="1"/>
            </a:p>
          </xdr:txBody>
        </xdr:sp>
      </mc:Fallback>
    </mc:AlternateContent>
    <xdr:clientData/>
  </xdr:oneCellAnchor>
  <xdr:oneCellAnchor>
    <xdr:from>
      <xdr:col>7</xdr:col>
      <xdr:colOff>304800</xdr:colOff>
      <xdr:row>13</xdr:row>
      <xdr:rowOff>240030</xdr:rowOff>
    </xdr:from>
    <xdr:ext cx="293670" cy="28764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3BFA7A42-8B0D-7E33-DE16-406491E7829F}"/>
                </a:ext>
              </a:extLst>
            </xdr:cNvPr>
            <xdr:cNvSpPr txBox="1"/>
          </xdr:nvSpPr>
          <xdr:spPr>
            <a:xfrm>
              <a:off x="3055620" y="2670810"/>
              <a:ext cx="293670" cy="2876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IN" sz="110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𝜋</m:t>
                        </m:r>
                      </m:num>
                      <m:den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4</m:t>
                        </m:r>
                      </m:den>
                    </m:f>
                    <m:sSup>
                      <m:sSup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𝑑</m:t>
                        </m:r>
                      </m:e>
                      <m:sup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3BFA7A42-8B0D-7E33-DE16-406491E7829F}"/>
                </a:ext>
              </a:extLst>
            </xdr:cNvPr>
            <xdr:cNvSpPr txBox="1"/>
          </xdr:nvSpPr>
          <xdr:spPr>
            <a:xfrm>
              <a:off x="3055620" y="2670810"/>
              <a:ext cx="293670" cy="2876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𝜋/</a:t>
              </a:r>
              <a:r>
                <a:rPr lang="en-IN" sz="1100" b="0" i="0">
                  <a:latin typeface="Cambria Math" panose="02040503050406030204" pitchFamily="18" charset="0"/>
                </a:rPr>
                <a:t>4 𝑑^2</a:t>
              </a:r>
              <a:endParaRPr lang="en-IN" sz="1100"/>
            </a:p>
          </xdr:txBody>
        </xdr:sp>
      </mc:Fallback>
    </mc:AlternateContent>
    <xdr:clientData/>
  </xdr:oneCellAnchor>
  <xdr:oneCellAnchor>
    <xdr:from>
      <xdr:col>9</xdr:col>
      <xdr:colOff>121920</xdr:colOff>
      <xdr:row>13</xdr:row>
      <xdr:rowOff>335280</xdr:rowOff>
    </xdr:from>
    <xdr:ext cx="85158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A6C8AC43-1C7F-40CD-96FF-1B5FE6ADD620}"/>
                </a:ext>
              </a:extLst>
            </xdr:cNvPr>
            <xdr:cNvSpPr txBox="1"/>
          </xdr:nvSpPr>
          <xdr:spPr>
            <a:xfrm>
              <a:off x="3924300" y="2766060"/>
              <a:ext cx="851580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2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𝑃𝐴𝑆𝑖𝑛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(</m:t>
                    </m:r>
                    <m:f>
                      <m:fPr>
                        <m:type m:val="lin"/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𝛼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2)</m:t>
                        </m:r>
                      </m:den>
                    </m:f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A6C8AC43-1C7F-40CD-96FF-1B5FE6ADD620}"/>
                </a:ext>
              </a:extLst>
            </xdr:cNvPr>
            <xdr:cNvSpPr txBox="1"/>
          </xdr:nvSpPr>
          <xdr:spPr>
            <a:xfrm>
              <a:off x="3924300" y="2766060"/>
              <a:ext cx="851580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2𝑃𝐴𝑆𝑖𝑛(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𝛼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∕〖2)〗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twoCellAnchor editAs="oneCell">
    <xdr:from>
      <xdr:col>3</xdr:col>
      <xdr:colOff>15240</xdr:colOff>
      <xdr:row>8</xdr:row>
      <xdr:rowOff>68580</xdr:rowOff>
    </xdr:from>
    <xdr:to>
      <xdr:col>3</xdr:col>
      <xdr:colOff>312420</xdr:colOff>
      <xdr:row>9</xdr:row>
      <xdr:rowOff>73572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871271A4-5969-48B6-966A-7E27DE7D339F}"/>
                </a:ext>
              </a:extLst>
            </xdr:cNvPr>
            <xdr:cNvSpPr txBox="1"/>
          </xdr:nvSpPr>
          <xdr:spPr>
            <a:xfrm>
              <a:off x="838200" y="154686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(</m:t>
                        </m:r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𝒄</m:t>
                        </m:r>
                      </m:sub>
                    </m:sSub>
                    <m:r>
                      <a:rPr kumimoji="0" lang="en-IN" sz="1200" b="1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)</m:t>
                    </m:r>
                  </m:oMath>
                </m:oMathPara>
              </a14:m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871271A4-5969-48B6-966A-7E27DE7D339F}"/>
                </a:ext>
              </a:extLst>
            </xdr:cNvPr>
            <xdr:cNvSpPr txBox="1"/>
          </xdr:nvSpPr>
          <xdr:spPr>
            <a:xfrm>
              <a:off x="838200" y="154686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〖(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〗_𝒄)</a:t>
              </a:r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twoCellAnchor>
  <xdr:twoCellAnchor editAs="oneCell">
    <xdr:from>
      <xdr:col>16</xdr:col>
      <xdr:colOff>53340</xdr:colOff>
      <xdr:row>13</xdr:row>
      <xdr:rowOff>388620</xdr:rowOff>
    </xdr:from>
    <xdr:to>
      <xdr:col>16</xdr:col>
      <xdr:colOff>586740</xdr:colOff>
      <xdr:row>13</xdr:row>
      <xdr:rowOff>525780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B3BE4E4A-37C4-43E2-A4BB-E3FA2F5083D9}"/>
                </a:ext>
              </a:extLst>
            </xdr:cNvPr>
            <xdr:cNvSpPr txBox="1"/>
          </xdr:nvSpPr>
          <xdr:spPr>
            <a:xfrm>
              <a:off x="8016240" y="2621280"/>
              <a:ext cx="533400" cy="13716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 xmlns:m="http://schemas.openxmlformats.org/officeDocument/2006/math">
                  <m:sSub>
                    <m:sSubPr>
                      <m:ctrlP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Cambria Math" panose="02040503050406030204" pitchFamily="18" charset="0"/>
                          <a:cs typeface="+mn-cs"/>
                        </a:rPr>
                        <m:t>𝜸</m:t>
                      </m:r>
                    </m:e>
                    <m:sub>
                      <m: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𝒄</m:t>
                      </m:r>
                    </m:sub>
                  </m:sSub>
                  <m:r>
                    <a:rPr kumimoji="0" lang="en-IN" sz="9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(</m:t>
                  </m:r>
                  <m:r>
                    <a:rPr kumimoji="0" lang="en-IN" sz="9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𝑳𝑩𝑯</m:t>
                  </m:r>
                </m:oMath>
              </a14:m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Choice>
      <mc:Fallback xmlns="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B3BE4E4A-37C4-43E2-A4BB-E3FA2F5083D9}"/>
                </a:ext>
              </a:extLst>
            </xdr:cNvPr>
            <xdr:cNvSpPr txBox="1"/>
          </xdr:nvSpPr>
          <xdr:spPr>
            <a:xfrm>
              <a:off x="8016240" y="2621280"/>
              <a:ext cx="533400" cy="13716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_𝒄 (𝑳𝑩𝑯</a:t>
              </a: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Fallback>
    </mc:AlternateContent>
    <xdr:clientData/>
  </xdr:twoCellAnchor>
  <xdr:oneCellAnchor>
    <xdr:from>
      <xdr:col>7</xdr:col>
      <xdr:colOff>38100</xdr:colOff>
      <xdr:row>8</xdr:row>
      <xdr:rowOff>167640</xdr:rowOff>
    </xdr:from>
    <xdr:ext cx="297180" cy="21073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55666D89-20AD-4E93-820B-5889AE0870E8}"/>
                </a:ext>
              </a:extLst>
            </xdr:cNvPr>
            <xdr:cNvSpPr txBox="1"/>
          </xdr:nvSpPr>
          <xdr:spPr>
            <a:xfrm>
              <a:off x="2788920" y="164592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(</m:t>
                        </m:r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𝒘</m:t>
                        </m:r>
                      </m:sub>
                    </m:sSub>
                    <m:r>
                      <a:rPr kumimoji="0" lang="en-IN" sz="1200" b="1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)</m:t>
                    </m:r>
                  </m:oMath>
                </m:oMathPara>
              </a14:m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55666D89-20AD-4E93-820B-5889AE0870E8}"/>
                </a:ext>
              </a:extLst>
            </xdr:cNvPr>
            <xdr:cNvSpPr txBox="1"/>
          </xdr:nvSpPr>
          <xdr:spPr>
            <a:xfrm>
              <a:off x="2788920" y="164592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〖(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〗_𝒘)</a:t>
              </a:r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twoCellAnchor editAs="oneCell">
    <xdr:from>
      <xdr:col>17</xdr:col>
      <xdr:colOff>99060</xdr:colOff>
      <xdr:row>13</xdr:row>
      <xdr:rowOff>373380</xdr:rowOff>
    </xdr:from>
    <xdr:to>
      <xdr:col>17</xdr:col>
      <xdr:colOff>480060</xdr:colOff>
      <xdr:row>13</xdr:row>
      <xdr:rowOff>525780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EAD16469-BA3B-48F1-BBAB-363366C44FBE}"/>
                </a:ext>
              </a:extLst>
            </xdr:cNvPr>
            <xdr:cNvSpPr txBox="1"/>
          </xdr:nvSpPr>
          <xdr:spPr>
            <a:xfrm>
              <a:off x="8671560" y="2606040"/>
              <a:ext cx="381000" cy="15240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 xmlns:m="http://schemas.openxmlformats.org/officeDocument/2006/math">
                  <m:sSub>
                    <m:sSubPr>
                      <m:ctrlP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Cambria Math" panose="02040503050406030204" pitchFamily="18" charset="0"/>
                          <a:cs typeface="+mn-cs"/>
                        </a:rPr>
                        <m:t>𝜸</m:t>
                      </m:r>
                    </m:e>
                    <m:sub>
                      <m:r>
                        <a:rPr kumimoji="0" lang="en-IN" sz="9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𝒘</m:t>
                      </m:r>
                    </m:sub>
                  </m:sSub>
                  <m:r>
                    <a:rPr kumimoji="0" lang="en-IN" sz="9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(</m:t>
                  </m:r>
                  <m:r>
                    <a:rPr kumimoji="0" lang="en-IN" sz="9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𝑨𝑳</m:t>
                  </m:r>
                </m:oMath>
              </a14:m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Choice>
      <mc:Fallback xmlns=""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EAD16469-BA3B-48F1-BBAB-363366C44FBE}"/>
                </a:ext>
              </a:extLst>
            </xdr:cNvPr>
            <xdr:cNvSpPr txBox="1"/>
          </xdr:nvSpPr>
          <xdr:spPr>
            <a:xfrm>
              <a:off x="8671560" y="2606040"/>
              <a:ext cx="381000" cy="15240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_𝒘 (𝑨𝑳</a:t>
              </a: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563880</xdr:colOff>
      <xdr:row>13</xdr:row>
      <xdr:rowOff>388620</xdr:rowOff>
    </xdr:from>
    <xdr:to>
      <xdr:col>19</xdr:col>
      <xdr:colOff>0</xdr:colOff>
      <xdr:row>13</xdr:row>
      <xdr:rowOff>571500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8" name="TextBox 17">
              <a:extLst>
                <a:ext uri="{FF2B5EF4-FFF2-40B4-BE49-F238E27FC236}">
                  <a16:creationId xmlns:a16="http://schemas.microsoft.com/office/drawing/2014/main" id="{52AEA148-F6C4-42D2-AC4F-B1CA577BDA25}"/>
                </a:ext>
              </a:extLst>
            </xdr:cNvPr>
            <xdr:cNvSpPr txBox="1"/>
          </xdr:nvSpPr>
          <xdr:spPr>
            <a:xfrm>
              <a:off x="9136380" y="3002280"/>
              <a:ext cx="655320" cy="18288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9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9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9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𝒔</m:t>
                        </m:r>
                      </m:sub>
                    </m:sSub>
                    <m:d>
                      <m:dPr>
                        <m:ctrlPr>
                          <a:rPr kumimoji="0" lang="en-IN" sz="9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dPr>
                      <m:e>
                        <m:r>
                          <a:rPr kumimoji="0" lang="en-IN" sz="9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𝑩𝒅</m:t>
                        </m:r>
                        <m:sSub>
                          <m:sSubPr>
                            <m:ctrlPr>
                              <a:rPr kumimoji="0" lang="en-IN" sz="9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kumimoji="0" lang="en-IN" sz="9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𝑬</m:t>
                            </m:r>
                          </m:e>
                          <m:sub>
                            <m:r>
                              <a:rPr kumimoji="0" lang="en-IN" sz="9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𝒄</m:t>
                            </m:r>
                          </m:sub>
                        </m:sSub>
                      </m:e>
                    </m:d>
                  </m:oMath>
                </m:oMathPara>
              </a14:m>
              <a:endParaRPr kumimoji="0" lang="en-IN" sz="9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18" name="TextBox 17">
              <a:extLst>
                <a:ext uri="{FF2B5EF4-FFF2-40B4-BE49-F238E27FC236}">
                  <a16:creationId xmlns:a16="http://schemas.microsoft.com/office/drawing/2014/main" id="{52AEA148-F6C4-42D2-AC4F-B1CA577BDA25}"/>
                </a:ext>
              </a:extLst>
            </xdr:cNvPr>
            <xdr:cNvSpPr txBox="1"/>
          </xdr:nvSpPr>
          <xdr:spPr>
            <a:xfrm>
              <a:off x="9136380" y="3002280"/>
              <a:ext cx="655320" cy="18288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9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_𝒔 (𝑩𝒅𝑬_𝒄 )</a:t>
              </a:r>
              <a:endParaRPr kumimoji="0" lang="en-IN" sz="9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twoCellAnchor>
  <xdr:oneCellAnchor>
    <xdr:from>
      <xdr:col>19</xdr:col>
      <xdr:colOff>38100</xdr:colOff>
      <xdr:row>13</xdr:row>
      <xdr:rowOff>346710</xdr:rowOff>
    </xdr:from>
    <xdr:ext cx="717440" cy="125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0" name="TextBox 19">
              <a:extLst>
                <a:ext uri="{FF2B5EF4-FFF2-40B4-BE49-F238E27FC236}">
                  <a16:creationId xmlns:a16="http://schemas.microsoft.com/office/drawing/2014/main" id="{7522981F-B643-9D80-FB94-887782AB6B6C}"/>
                </a:ext>
              </a:extLst>
            </xdr:cNvPr>
            <xdr:cNvSpPr txBox="1"/>
          </xdr:nvSpPr>
          <xdr:spPr>
            <a:xfrm>
              <a:off x="9829800" y="2777490"/>
              <a:ext cx="717440" cy="125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𝒄</m:t>
                        </m:r>
                      </m:sub>
                    </m:sSub>
                    <m:r>
                      <a:rPr lang="en-IN" sz="8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𝒘</m:t>
                        </m:r>
                      </m:sub>
                    </m:sSub>
                    <m:r>
                      <a:rPr lang="en-IN" sz="8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</m:oMath>
                </m:oMathPara>
              </a14:m>
              <a:endParaRPr lang="en-IN" sz="800" b="1"/>
            </a:p>
          </xdr:txBody>
        </xdr:sp>
      </mc:Choice>
      <mc:Fallback xmlns="">
        <xdr:sp macro="" textlink="">
          <xdr:nvSpPr>
            <xdr:cNvPr id="20" name="TextBox 19">
              <a:extLst>
                <a:ext uri="{FF2B5EF4-FFF2-40B4-BE49-F238E27FC236}">
                  <a16:creationId xmlns:a16="http://schemas.microsoft.com/office/drawing/2014/main" id="{7522981F-B643-9D80-FB94-887782AB6B6C}"/>
                </a:ext>
              </a:extLst>
            </xdr:cNvPr>
            <xdr:cNvSpPr txBox="1"/>
          </xdr:nvSpPr>
          <xdr:spPr>
            <a:xfrm>
              <a:off x="9829800" y="2777490"/>
              <a:ext cx="717440" cy="125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800" b="1" i="0">
                  <a:latin typeface="Cambria Math" panose="02040503050406030204" pitchFamily="18" charset="0"/>
                </a:rPr>
                <a:t>𝑾_𝒄+𝑾_𝒘+𝑾_𝒔</a:t>
              </a:r>
              <a:endParaRPr lang="en-IN" sz="800" b="1"/>
            </a:p>
          </xdr:txBody>
        </xdr:sp>
      </mc:Fallback>
    </mc:AlternateContent>
    <xdr:clientData/>
  </xdr:oneCellAnchor>
  <xdr:oneCellAnchor>
    <xdr:from>
      <xdr:col>13</xdr:col>
      <xdr:colOff>22860</xdr:colOff>
      <xdr:row>1</xdr:row>
      <xdr:rowOff>91440</xdr:rowOff>
    </xdr:from>
    <xdr:ext cx="4219425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2" name="TextBox 21">
              <a:extLst>
                <a:ext uri="{FF2B5EF4-FFF2-40B4-BE49-F238E27FC236}">
                  <a16:creationId xmlns:a16="http://schemas.microsoft.com/office/drawing/2014/main" id="{C95105E5-976E-4095-B07D-6D9A5C089F8B}"/>
                </a:ext>
              </a:extLst>
            </xdr:cNvPr>
            <xdr:cNvSpPr txBox="1"/>
          </xdr:nvSpPr>
          <xdr:spPr>
            <a:xfrm>
              <a:off x="6156960" y="274320"/>
              <a:ext cx="4219425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𝑃𝑎𝑠𝑠𝑖𝑣𝑒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𝐸𝑎𝑟𝑡h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𝑃𝑟𝑒𝑠𝑠𝑢𝑟𝑒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𝑓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𝑝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sSub>
                      <m:sSub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𝛾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</m:t>
                        </m:r>
                      </m:sub>
                    </m:sSub>
                    <m:f>
                      <m:f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sSup>
                          <m:sSupPr>
                            <m:ctrlP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𝐻</m:t>
                            </m:r>
                          </m:e>
                          <m:sup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𝐿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f>
                      <m:f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𝑠𝑖𝑛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+2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𝐶𝐻𝐿</m:t>
                    </m:r>
                    <m:rad>
                      <m:radPr>
                        <m:degHide m:val="on"/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1+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num>
                          <m:den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1−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den>
                        </m:f>
                      </m:e>
                    </m:rad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22" name="TextBox 21">
              <a:extLst>
                <a:ext uri="{FF2B5EF4-FFF2-40B4-BE49-F238E27FC236}">
                  <a16:creationId xmlns:a16="http://schemas.microsoft.com/office/drawing/2014/main" id="{C95105E5-976E-4095-B07D-6D9A5C089F8B}"/>
                </a:ext>
              </a:extLst>
            </xdr:cNvPr>
            <xdr:cNvSpPr txBox="1"/>
          </xdr:nvSpPr>
          <xdr:spPr>
            <a:xfrm>
              <a:off x="6156960" y="274320"/>
              <a:ext cx="4219425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〖𝑃𝑎𝑠𝑠𝑖𝑣𝑒 𝐸𝑎𝑟𝑡ℎ 𝑃𝑟𝑒𝑠𝑠𝑢𝑟𝑒= 𝑓〗_𝑝=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𝛾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_𝑠  𝐻^2/2.𝐿.(1+𝑠𝑖𝑛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)+2𝐶𝐻𝐿√((1+𝑆𝑖𝑛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))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20</xdr:col>
      <xdr:colOff>152400</xdr:colOff>
      <xdr:row>13</xdr:row>
      <xdr:rowOff>415290</xdr:rowOff>
    </xdr:from>
    <xdr:ext cx="342658" cy="125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>
              <a:extLst>
                <a:ext uri="{FF2B5EF4-FFF2-40B4-BE49-F238E27FC236}">
                  <a16:creationId xmlns:a16="http://schemas.microsoft.com/office/drawing/2014/main" id="{7F318A18-AA37-F7B3-F1A0-8A204C8CAA4F}"/>
                </a:ext>
              </a:extLst>
            </xdr:cNvPr>
            <xdr:cNvSpPr txBox="1"/>
          </xdr:nvSpPr>
          <xdr:spPr>
            <a:xfrm>
              <a:off x="10713720" y="3028950"/>
              <a:ext cx="342658" cy="125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𝒇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  <m:r>
                      <a:rPr lang="en-IN" sz="8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×</m:t>
                    </m:r>
                    <m:r>
                      <a:rPr lang="en-IN" sz="8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𝑾</m:t>
                    </m:r>
                  </m:oMath>
                </m:oMathPara>
              </a14:m>
              <a:endParaRPr lang="en-IN" sz="800" b="1"/>
            </a:p>
          </xdr:txBody>
        </xdr:sp>
      </mc:Choice>
      <mc:Fallback xmlns="">
        <xdr:sp macro="" textlink="">
          <xdr:nvSpPr>
            <xdr:cNvPr id="23" name="TextBox 22">
              <a:extLst>
                <a:ext uri="{FF2B5EF4-FFF2-40B4-BE49-F238E27FC236}">
                  <a16:creationId xmlns:a16="http://schemas.microsoft.com/office/drawing/2014/main" id="{7F318A18-AA37-F7B3-F1A0-8A204C8CAA4F}"/>
                </a:ext>
              </a:extLst>
            </xdr:cNvPr>
            <xdr:cNvSpPr txBox="1"/>
          </xdr:nvSpPr>
          <xdr:spPr>
            <a:xfrm>
              <a:off x="10713720" y="3028950"/>
              <a:ext cx="342658" cy="125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800" b="1" i="0">
                  <a:latin typeface="Cambria Math" panose="02040503050406030204" pitchFamily="18" charset="0"/>
                </a:rPr>
                <a:t>𝒇_𝒔</a:t>
              </a:r>
              <a:r>
                <a:rPr lang="en-IN" sz="8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×𝑾</a:t>
              </a:r>
              <a:endParaRPr lang="en-IN" sz="800" b="1"/>
            </a:p>
          </xdr:txBody>
        </xdr:sp>
      </mc:Fallback>
    </mc:AlternateContent>
    <xdr:clientData/>
  </xdr:oneCellAnchor>
  <xdr:oneCellAnchor>
    <xdr:from>
      <xdr:col>13</xdr:col>
      <xdr:colOff>38100</xdr:colOff>
      <xdr:row>4</xdr:row>
      <xdr:rowOff>190500</xdr:rowOff>
    </xdr:from>
    <xdr:ext cx="3748270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4" name="TextBox 23">
              <a:extLst>
                <a:ext uri="{FF2B5EF4-FFF2-40B4-BE49-F238E27FC236}">
                  <a16:creationId xmlns:a16="http://schemas.microsoft.com/office/drawing/2014/main" id="{83F94F8D-0DF2-49BF-B0A3-89E2AE94E0F0}"/>
                </a:ext>
              </a:extLst>
            </xdr:cNvPr>
            <xdr:cNvSpPr txBox="1"/>
          </xdr:nvSpPr>
          <xdr:spPr>
            <a:xfrm>
              <a:off x="6172200" y="922020"/>
              <a:ext cx="3748270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𝐴𝑐𝑡𝑖𝑣𝑒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𝐸𝑎𝑟𝑡h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𝑃𝑟𝑒𝑠𝑠𝑢𝑟𝑒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𝑓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𝑎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sSub>
                      <m:sSub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𝛾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𝑑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f>
                      <m:f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+2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𝐶</m:t>
                    </m:r>
                    <m:rad>
                      <m:radPr>
                        <m:degHide m:val="on"/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1−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num>
                          <m:den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1+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den>
                        </m:f>
                      </m:e>
                    </m:rad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24" name="TextBox 23">
              <a:extLst>
                <a:ext uri="{FF2B5EF4-FFF2-40B4-BE49-F238E27FC236}">
                  <a16:creationId xmlns:a16="http://schemas.microsoft.com/office/drawing/2014/main" id="{83F94F8D-0DF2-49BF-B0A3-89E2AE94E0F0}"/>
                </a:ext>
              </a:extLst>
            </xdr:cNvPr>
            <xdr:cNvSpPr txBox="1"/>
          </xdr:nvSpPr>
          <xdr:spPr>
            <a:xfrm>
              <a:off x="6172200" y="922020"/>
              <a:ext cx="3748270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〖𝐴𝑐𝑡𝑖𝑣𝑒 𝐸𝑎𝑟𝑡ℎ 𝑃𝑟𝑒𝑠𝑠𝑢𝑟𝑒=𝑓〗_𝑎=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𝛾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_𝑠.𝑑.(1−𝑠𝑖𝑛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)+2𝐶√((1−𝑆𝑖𝑛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))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13</xdr:col>
      <xdr:colOff>30480</xdr:colOff>
      <xdr:row>9</xdr:row>
      <xdr:rowOff>3810</xdr:rowOff>
    </xdr:from>
    <xdr:ext cx="116987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7" name="TextBox 26">
              <a:extLst>
                <a:ext uri="{FF2B5EF4-FFF2-40B4-BE49-F238E27FC236}">
                  <a16:creationId xmlns:a16="http://schemas.microsoft.com/office/drawing/2014/main" id="{50FBA5C2-FE78-C179-DC99-C5D29ED72893}"/>
                </a:ext>
              </a:extLst>
            </xdr:cNvPr>
            <xdr:cNvSpPr txBox="1"/>
          </xdr:nvSpPr>
          <xdr:spPr>
            <a:xfrm>
              <a:off x="6164580" y="1885950"/>
              <a:ext cx="1169872" cy="172227"/>
            </a:xfrm>
            <a:prstGeom prst="rect">
              <a:avLst/>
            </a:prstGeom>
            <a:noFill/>
            <a:ln w="9525"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1+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𝑆𝑖𝑛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𝜃</m:t>
                        </m:r>
                      </m:num>
                      <m:den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1−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𝑆𝑖𝑛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𝜃</m:t>
                        </m:r>
                      </m:den>
                    </m:f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27" name="TextBox 26">
              <a:extLst>
                <a:ext uri="{FF2B5EF4-FFF2-40B4-BE49-F238E27FC236}">
                  <a16:creationId xmlns:a16="http://schemas.microsoft.com/office/drawing/2014/main" id="{50FBA5C2-FE78-C179-DC99-C5D29ED72893}"/>
                </a:ext>
              </a:extLst>
            </xdr:cNvPr>
            <xdr:cNvSpPr txBox="1"/>
          </xdr:nvSpPr>
          <xdr:spPr>
            <a:xfrm>
              <a:off x="6164580" y="1885950"/>
              <a:ext cx="1169872" cy="172227"/>
            </a:xfrm>
            <a:prstGeom prst="rect">
              <a:avLst/>
            </a:prstGeom>
            <a:noFill/>
            <a:ln w="9525"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〖</a:t>
              </a:r>
              <a:r>
                <a:rPr lang="en-IN" sz="1100" b="0" i="0">
                  <a:latin typeface="Cambria Math" panose="02040503050406030204" pitchFamily="18" charset="0"/>
                </a:rPr>
                <a:t>1+𝑆𝑖𝑛</a:t>
              </a:r>
              <a:r>
                <a:rPr lang="en-IN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𝜃〗∕〖</a:t>
              </a:r>
              <a:r>
                <a:rPr lang="en-IN" sz="1100" b="0" i="0">
                  <a:latin typeface="Cambria Math" panose="02040503050406030204" pitchFamily="18" charset="0"/>
                </a:rPr>
                <a:t>1−𝑆𝑖𝑛</a:t>
              </a:r>
              <a:r>
                <a:rPr lang="en-IN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𝜃〗</a:t>
              </a:r>
              <a:endParaRPr lang="en-IN" sz="1100"/>
            </a:p>
          </xdr:txBody>
        </xdr:sp>
      </mc:Fallback>
    </mc:AlternateContent>
    <xdr:clientData/>
  </xdr:oneCellAnchor>
  <xdr:oneCellAnchor>
    <xdr:from>
      <xdr:col>13</xdr:col>
      <xdr:colOff>0</xdr:colOff>
      <xdr:row>10</xdr:row>
      <xdr:rowOff>0</xdr:rowOff>
    </xdr:from>
    <xdr:ext cx="116987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9" name="TextBox 28">
              <a:extLst>
                <a:ext uri="{FF2B5EF4-FFF2-40B4-BE49-F238E27FC236}">
                  <a16:creationId xmlns:a16="http://schemas.microsoft.com/office/drawing/2014/main" id="{C16A70DD-7228-4FB7-B78E-9593686B39D4}"/>
                </a:ext>
              </a:extLst>
            </xdr:cNvPr>
            <xdr:cNvSpPr txBox="1"/>
          </xdr:nvSpPr>
          <xdr:spPr>
            <a:xfrm>
              <a:off x="6134100" y="2065020"/>
              <a:ext cx="1169872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29" name="TextBox 28">
              <a:extLst>
                <a:ext uri="{FF2B5EF4-FFF2-40B4-BE49-F238E27FC236}">
                  <a16:creationId xmlns:a16="http://schemas.microsoft.com/office/drawing/2014/main" id="{C16A70DD-7228-4FB7-B78E-9593686B39D4}"/>
                </a:ext>
              </a:extLst>
            </xdr:cNvPr>
            <xdr:cNvSpPr txBox="1"/>
          </xdr:nvSpPr>
          <xdr:spPr>
            <a:xfrm>
              <a:off x="6134100" y="2065020"/>
              <a:ext cx="1169872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〗∕〖1+𝑆𝑖𝑛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22</xdr:col>
      <xdr:colOff>601980</xdr:colOff>
      <xdr:row>13</xdr:row>
      <xdr:rowOff>300990</xdr:rowOff>
    </xdr:from>
    <xdr:ext cx="607602" cy="13433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0" name="TextBox 29">
              <a:extLst>
                <a:ext uri="{FF2B5EF4-FFF2-40B4-BE49-F238E27FC236}">
                  <a16:creationId xmlns:a16="http://schemas.microsoft.com/office/drawing/2014/main" id="{20918054-DAB2-A34E-873A-2F84EDE970B0}"/>
                </a:ext>
              </a:extLst>
            </xdr:cNvPr>
            <xdr:cNvSpPr txBox="1"/>
          </xdr:nvSpPr>
          <xdr:spPr>
            <a:xfrm>
              <a:off x="12435840" y="2914650"/>
              <a:ext cx="607602" cy="13433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  <m:r>
                      <a:rPr lang="en-IN" sz="8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𝒑</m:t>
                        </m:r>
                      </m:sub>
                    </m:sSub>
                    <m:r>
                      <a:rPr lang="en-IN" sz="8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8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800" b="1" i="1">
                            <a:latin typeface="Cambria Math" panose="02040503050406030204" pitchFamily="18" charset="0"/>
                          </a:rPr>
                          <m:t>𝒂</m:t>
                        </m:r>
                      </m:sub>
                    </m:sSub>
                  </m:oMath>
                </m:oMathPara>
              </a14:m>
              <a:endParaRPr lang="en-IN" sz="800" b="1"/>
            </a:p>
          </xdr:txBody>
        </xdr:sp>
      </mc:Choice>
      <mc:Fallback xmlns="">
        <xdr:sp macro="" textlink="">
          <xdr:nvSpPr>
            <xdr:cNvPr id="30" name="TextBox 29">
              <a:extLst>
                <a:ext uri="{FF2B5EF4-FFF2-40B4-BE49-F238E27FC236}">
                  <a16:creationId xmlns:a16="http://schemas.microsoft.com/office/drawing/2014/main" id="{20918054-DAB2-A34E-873A-2F84EDE970B0}"/>
                </a:ext>
              </a:extLst>
            </xdr:cNvPr>
            <xdr:cNvSpPr txBox="1"/>
          </xdr:nvSpPr>
          <xdr:spPr>
            <a:xfrm>
              <a:off x="12435840" y="2914650"/>
              <a:ext cx="607602" cy="13433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800" b="1" i="0">
                  <a:latin typeface="Cambria Math" panose="02040503050406030204" pitchFamily="18" charset="0"/>
                </a:rPr>
                <a:t>𝑭_𝒔+𝑭_𝒑+𝑭_𝒂</a:t>
              </a:r>
              <a:endParaRPr lang="en-IN" sz="800" b="1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228600</xdr:colOff>
      <xdr:row>1</xdr:row>
      <xdr:rowOff>171450</xdr:rowOff>
    </xdr:from>
    <xdr:to>
      <xdr:col>5</xdr:col>
      <xdr:colOff>418973</xdr:colOff>
      <xdr:row>2</xdr:row>
      <xdr:rowOff>176442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85A26085-09F8-4A5B-9829-228141FC7F56}"/>
                </a:ext>
              </a:extLst>
            </xdr:cNvPr>
            <xdr:cNvSpPr txBox="1"/>
          </xdr:nvSpPr>
          <xdr:spPr>
            <a:xfrm>
              <a:off x="2811780" y="354330"/>
              <a:ext cx="190373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2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2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𝜸</m:t>
                        </m:r>
                      </m:e>
                      <m:sub>
                        <m:r>
                          <a:rPr lang="en-IN" sz="12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</m:oMath>
                </m:oMathPara>
              </a14:m>
              <a:endParaRPr lang="en-IN" sz="1200" b="1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85A26085-09F8-4A5B-9829-228141FC7F56}"/>
                </a:ext>
              </a:extLst>
            </xdr:cNvPr>
            <xdr:cNvSpPr txBox="1"/>
          </xdr:nvSpPr>
          <xdr:spPr>
            <a:xfrm>
              <a:off x="2811780" y="354330"/>
              <a:ext cx="190373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:r>
                <a:rPr lang="en-IN" sz="12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𝜸_</a:t>
              </a:r>
              <a:r>
                <a:rPr lang="en-IN" sz="1200" b="1" i="0">
                  <a:latin typeface="Cambria Math" panose="02040503050406030204" pitchFamily="18" charset="0"/>
                </a:rPr>
                <a:t>𝒔</a:t>
              </a:r>
              <a:endParaRPr lang="en-IN" sz="1200" b="1"/>
            </a:p>
          </xdr:txBody>
        </xdr:sp>
      </mc:Fallback>
    </mc:AlternateContent>
    <xdr:clientData/>
  </xdr:twoCellAnchor>
  <xdr:oneCellAnchor>
    <xdr:from>
      <xdr:col>5</xdr:col>
      <xdr:colOff>213360</xdr:colOff>
      <xdr:row>2</xdr:row>
      <xdr:rowOff>179070</xdr:rowOff>
    </xdr:from>
    <xdr:ext cx="130869" cy="187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659FB7AE-8C29-40A7-8EE7-19E9AE86420E}"/>
                </a:ext>
              </a:extLst>
            </xdr:cNvPr>
            <xdr:cNvSpPr txBox="1"/>
          </xdr:nvSpPr>
          <xdr:spPr>
            <a:xfrm>
              <a:off x="2796540" y="544830"/>
              <a:ext cx="130869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IN" sz="12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𝜽</m:t>
                    </m:r>
                  </m:oMath>
                </m:oMathPara>
              </a14:m>
              <a:endParaRPr lang="en-IN" sz="1200" b="1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659FB7AE-8C29-40A7-8EE7-19E9AE86420E}"/>
                </a:ext>
              </a:extLst>
            </xdr:cNvPr>
            <xdr:cNvSpPr txBox="1"/>
          </xdr:nvSpPr>
          <xdr:spPr>
            <a:xfrm>
              <a:off x="2796540" y="544830"/>
              <a:ext cx="130869" cy="187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IN" sz="12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𝜽</a:t>
              </a:r>
              <a:endParaRPr lang="en-IN" sz="1200" b="1"/>
            </a:p>
          </xdr:txBody>
        </xdr:sp>
      </mc:Fallback>
    </mc:AlternateContent>
    <xdr:clientData/>
  </xdr:oneCellAnchor>
  <xdr:twoCellAnchor editAs="oneCell">
    <xdr:from>
      <xdr:col>5</xdr:col>
      <xdr:colOff>175260</xdr:colOff>
      <xdr:row>6</xdr:row>
      <xdr:rowOff>152400</xdr:rowOff>
    </xdr:from>
    <xdr:to>
      <xdr:col>5</xdr:col>
      <xdr:colOff>472440</xdr:colOff>
      <xdr:row>7</xdr:row>
      <xdr:rowOff>180252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EBF93F79-10B2-4E14-841B-7001FFD023D8}"/>
                </a:ext>
              </a:extLst>
            </xdr:cNvPr>
            <xdr:cNvSpPr txBox="1"/>
          </xdr:nvSpPr>
          <xdr:spPr>
            <a:xfrm>
              <a:off x="3223260" y="110490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(</m:t>
                        </m:r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𝒄</m:t>
                        </m:r>
                      </m:sub>
                    </m:sSub>
                    <m:r>
                      <a:rPr kumimoji="0" lang="en-IN" sz="1200" b="1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)</m:t>
                    </m:r>
                  </m:oMath>
                </m:oMathPara>
              </a14:m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EBF93F79-10B2-4E14-841B-7001FFD023D8}"/>
                </a:ext>
              </a:extLst>
            </xdr:cNvPr>
            <xdr:cNvSpPr txBox="1"/>
          </xdr:nvSpPr>
          <xdr:spPr>
            <a:xfrm>
              <a:off x="3223260" y="110490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〖(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〗_𝒄)</a:t>
              </a:r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twoCellAnchor>
  <xdr:oneCellAnchor>
    <xdr:from>
      <xdr:col>5</xdr:col>
      <xdr:colOff>160020</xdr:colOff>
      <xdr:row>7</xdr:row>
      <xdr:rowOff>167640</xdr:rowOff>
    </xdr:from>
    <xdr:ext cx="297180" cy="21073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F920849-5950-460A-8A69-CC50AF3025FD}"/>
                </a:ext>
              </a:extLst>
            </xdr:cNvPr>
            <xdr:cNvSpPr txBox="1"/>
          </xdr:nvSpPr>
          <xdr:spPr>
            <a:xfrm>
              <a:off x="3208020" y="130302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(</m:t>
                        </m:r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12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𝒘</m:t>
                        </m:r>
                      </m:sub>
                    </m:sSub>
                    <m:r>
                      <a:rPr kumimoji="0" lang="en-IN" sz="1200" b="1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)</m:t>
                    </m:r>
                  </m:oMath>
                </m:oMathPara>
              </a14:m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F920849-5950-460A-8A69-CC50AF3025FD}"/>
                </a:ext>
              </a:extLst>
            </xdr:cNvPr>
            <xdr:cNvSpPr txBox="1"/>
          </xdr:nvSpPr>
          <xdr:spPr>
            <a:xfrm>
              <a:off x="3208020" y="1303020"/>
              <a:ext cx="297180" cy="210732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〖(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〗_𝒘)</a:t>
              </a:r>
              <a:endParaRPr kumimoji="0" lang="en-IN" sz="12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1</xdr:col>
      <xdr:colOff>30480</xdr:colOff>
      <xdr:row>11</xdr:row>
      <xdr:rowOff>3810</xdr:rowOff>
    </xdr:from>
    <xdr:ext cx="116987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>
              <a:extLst>
                <a:ext uri="{FF2B5EF4-FFF2-40B4-BE49-F238E27FC236}">
                  <a16:creationId xmlns:a16="http://schemas.microsoft.com/office/drawing/2014/main" id="{BC05C061-D338-4F84-962D-3F729F08481D}"/>
                </a:ext>
              </a:extLst>
            </xdr:cNvPr>
            <xdr:cNvSpPr txBox="1"/>
          </xdr:nvSpPr>
          <xdr:spPr>
            <a:xfrm>
              <a:off x="6499860" y="1885950"/>
              <a:ext cx="1169872" cy="172227"/>
            </a:xfrm>
            <a:prstGeom prst="rect">
              <a:avLst/>
            </a:prstGeom>
            <a:noFill/>
            <a:ln w="9525"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1+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𝑆𝑖𝑛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𝜃</m:t>
                        </m:r>
                      </m:num>
                      <m:den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1−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𝑆𝑖𝑛</m:t>
                        </m:r>
                        <m:r>
                          <a:rPr lang="en-IN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𝜃</m:t>
                        </m:r>
                      </m:den>
                    </m:f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10" name="TextBox 9">
              <a:extLst>
                <a:ext uri="{FF2B5EF4-FFF2-40B4-BE49-F238E27FC236}">
                  <a16:creationId xmlns:a16="http://schemas.microsoft.com/office/drawing/2014/main" id="{BC05C061-D338-4F84-962D-3F729F08481D}"/>
                </a:ext>
              </a:extLst>
            </xdr:cNvPr>
            <xdr:cNvSpPr txBox="1"/>
          </xdr:nvSpPr>
          <xdr:spPr>
            <a:xfrm>
              <a:off x="6499860" y="1885950"/>
              <a:ext cx="1169872" cy="172227"/>
            </a:xfrm>
            <a:prstGeom prst="rect">
              <a:avLst/>
            </a:prstGeom>
            <a:noFill/>
            <a:ln w="9525"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IN" sz="1100" i="0">
                  <a:latin typeface="Cambria Math" panose="02040503050406030204" pitchFamily="18" charset="0"/>
                </a:rPr>
                <a:t>〖</a:t>
              </a:r>
              <a:r>
                <a:rPr lang="en-IN" sz="1100" b="0" i="0">
                  <a:latin typeface="Cambria Math" panose="02040503050406030204" pitchFamily="18" charset="0"/>
                </a:rPr>
                <a:t>1+𝑆𝑖𝑛</a:t>
              </a:r>
              <a:r>
                <a:rPr lang="en-IN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𝜃〗∕〖</a:t>
              </a:r>
              <a:r>
                <a:rPr lang="en-IN" sz="1100" b="0" i="0">
                  <a:latin typeface="Cambria Math" panose="02040503050406030204" pitchFamily="18" charset="0"/>
                </a:rPr>
                <a:t>1−𝑆𝑖𝑛</a:t>
              </a:r>
              <a:r>
                <a:rPr lang="en-IN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𝜃〗</a:t>
              </a:r>
              <a:endParaRPr lang="en-IN" sz="1100"/>
            </a:p>
          </xdr:txBody>
        </xdr:sp>
      </mc:Fallback>
    </mc:AlternateContent>
    <xdr:clientData/>
  </xdr:oneCellAnchor>
  <xdr:oneCellAnchor>
    <xdr:from>
      <xdr:col>1</xdr:col>
      <xdr:colOff>0</xdr:colOff>
      <xdr:row>12</xdr:row>
      <xdr:rowOff>0</xdr:rowOff>
    </xdr:from>
    <xdr:ext cx="116987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1DD7C073-6A52-4C2D-B915-77C4F11D08AC}"/>
                </a:ext>
              </a:extLst>
            </xdr:cNvPr>
            <xdr:cNvSpPr txBox="1"/>
          </xdr:nvSpPr>
          <xdr:spPr>
            <a:xfrm>
              <a:off x="6469380" y="2065020"/>
              <a:ext cx="1169872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1DD7C073-6A52-4C2D-B915-77C4F11D08AC}"/>
                </a:ext>
              </a:extLst>
            </xdr:cNvPr>
            <xdr:cNvSpPr txBox="1"/>
          </xdr:nvSpPr>
          <xdr:spPr>
            <a:xfrm>
              <a:off x="6469380" y="2065020"/>
              <a:ext cx="1169872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〗∕〖1+𝑆𝑖𝑛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〗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3</xdr:col>
      <xdr:colOff>83820</xdr:colOff>
      <xdr:row>17</xdr:row>
      <xdr:rowOff>15240</xdr:rowOff>
    </xdr:from>
    <xdr:ext cx="388620" cy="28764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5E5523F2-C611-4A99-8DF7-34C63D1E00C0}"/>
                </a:ext>
              </a:extLst>
            </xdr:cNvPr>
            <xdr:cNvSpPr txBox="1"/>
          </xdr:nvSpPr>
          <xdr:spPr>
            <a:xfrm>
              <a:off x="1912620" y="4838700"/>
              <a:ext cx="388620" cy="2876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IN" sz="110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𝜋</m:t>
                        </m:r>
                      </m:num>
                      <m:den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4</m:t>
                        </m:r>
                      </m:den>
                    </m:f>
                    <m:sSup>
                      <m:sSup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𝑑</m:t>
                        </m:r>
                      </m:e>
                      <m:sup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5E5523F2-C611-4A99-8DF7-34C63D1E00C0}"/>
                </a:ext>
              </a:extLst>
            </xdr:cNvPr>
            <xdr:cNvSpPr txBox="1"/>
          </xdr:nvSpPr>
          <xdr:spPr>
            <a:xfrm>
              <a:off x="1912620" y="4838700"/>
              <a:ext cx="388620" cy="2876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IN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𝜋/</a:t>
              </a:r>
              <a:r>
                <a:rPr lang="en-IN" sz="1100" b="0" i="0">
                  <a:latin typeface="Cambria Math" panose="02040503050406030204" pitchFamily="18" charset="0"/>
                </a:rPr>
                <a:t>4 𝑑^2</a:t>
              </a:r>
              <a:endParaRPr lang="en-IN" sz="1100"/>
            </a:p>
          </xdr:txBody>
        </xdr:sp>
      </mc:Fallback>
    </mc:AlternateContent>
    <xdr:clientData/>
  </xdr:oneCellAnchor>
  <xdr:oneCellAnchor>
    <xdr:from>
      <xdr:col>3</xdr:col>
      <xdr:colOff>0</xdr:colOff>
      <xdr:row>19</xdr:row>
      <xdr:rowOff>15240</xdr:rowOff>
    </xdr:from>
    <xdr:ext cx="85158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>
              <a:extLst>
                <a:ext uri="{FF2B5EF4-FFF2-40B4-BE49-F238E27FC236}">
                  <a16:creationId xmlns:a16="http://schemas.microsoft.com/office/drawing/2014/main" id="{1C4432EA-2CAA-4A35-ADCB-5D5FB200E1A3}"/>
                </a:ext>
              </a:extLst>
            </xdr:cNvPr>
            <xdr:cNvSpPr txBox="1"/>
          </xdr:nvSpPr>
          <xdr:spPr>
            <a:xfrm>
              <a:off x="1828800" y="5227320"/>
              <a:ext cx="851580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2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𝑃𝐴𝑆𝑖𝑛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(</m:t>
                    </m:r>
                    <m:f>
                      <m:fPr>
                        <m:type m:val="lin"/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𝛼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2)</m:t>
                        </m:r>
                      </m:den>
                    </m:f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13" name="TextBox 12">
              <a:extLst>
                <a:ext uri="{FF2B5EF4-FFF2-40B4-BE49-F238E27FC236}">
                  <a16:creationId xmlns:a16="http://schemas.microsoft.com/office/drawing/2014/main" id="{1C4432EA-2CAA-4A35-ADCB-5D5FB200E1A3}"/>
                </a:ext>
              </a:extLst>
            </xdr:cNvPr>
            <xdr:cNvSpPr txBox="1"/>
          </xdr:nvSpPr>
          <xdr:spPr>
            <a:xfrm>
              <a:off x="1828800" y="5227320"/>
              <a:ext cx="851580" cy="172227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2𝑃𝐴𝑆𝑖𝑛(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𝛼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∕〖2)〗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twoCellAnchor editAs="oneCell">
    <xdr:from>
      <xdr:col>3</xdr:col>
      <xdr:colOff>472440</xdr:colOff>
      <xdr:row>27</xdr:row>
      <xdr:rowOff>15240</xdr:rowOff>
    </xdr:from>
    <xdr:to>
      <xdr:col>4</xdr:col>
      <xdr:colOff>472440</xdr:colOff>
      <xdr:row>28</xdr:row>
      <xdr:rowOff>22860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" name="TextBox 14">
              <a:extLst>
                <a:ext uri="{FF2B5EF4-FFF2-40B4-BE49-F238E27FC236}">
                  <a16:creationId xmlns:a16="http://schemas.microsoft.com/office/drawing/2014/main" id="{C806B856-C74C-4B2A-995B-0180A727202C}"/>
                </a:ext>
              </a:extLst>
            </xdr:cNvPr>
            <xdr:cNvSpPr txBox="1"/>
          </xdr:nvSpPr>
          <xdr:spPr>
            <a:xfrm>
              <a:off x="2301240" y="6690360"/>
              <a:ext cx="609600" cy="20574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 xmlns:m="http://schemas.openxmlformats.org/officeDocument/2006/math">
                  <m:sSub>
                    <m:sSubPr>
                      <m:ctrlPr>
                        <a:rPr kumimoji="0" lang="en-IN" sz="12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kumimoji="0" lang="en-IN" sz="12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Cambria Math" panose="02040503050406030204" pitchFamily="18" charset="0"/>
                          <a:cs typeface="+mn-cs"/>
                        </a:rPr>
                        <m:t>𝜸</m:t>
                      </m:r>
                    </m:e>
                    <m:sub>
                      <m:r>
                        <a:rPr kumimoji="0" lang="en-IN" sz="12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𝒄</m:t>
                      </m:r>
                    </m:sub>
                  </m:sSub>
                  <m:r>
                    <a:rPr kumimoji="0" lang="en-IN" sz="12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(</m:t>
                  </m:r>
                  <m:r>
                    <a:rPr kumimoji="0" lang="en-IN" sz="12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𝑳𝑩𝑯</m:t>
                  </m:r>
                </m:oMath>
              </a14:m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Choice>
      <mc:Fallback xmlns="">
        <xdr:sp macro="" textlink="">
          <xdr:nvSpPr>
            <xdr:cNvPr id="15" name="TextBox 14">
              <a:extLst>
                <a:ext uri="{FF2B5EF4-FFF2-40B4-BE49-F238E27FC236}">
                  <a16:creationId xmlns:a16="http://schemas.microsoft.com/office/drawing/2014/main" id="{C806B856-C74C-4B2A-995B-0180A727202C}"/>
                </a:ext>
              </a:extLst>
            </xdr:cNvPr>
            <xdr:cNvSpPr txBox="1"/>
          </xdr:nvSpPr>
          <xdr:spPr>
            <a:xfrm>
              <a:off x="2301240" y="6690360"/>
              <a:ext cx="609600" cy="20574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_𝒄 (𝑳𝑩𝑯</a:t>
              </a:r>
              <a:r>
                <a:rPr kumimoji="0" lang="en-IN" sz="12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533400</xdr:colOff>
      <xdr:row>28</xdr:row>
      <xdr:rowOff>0</xdr:rowOff>
    </xdr:from>
    <xdr:to>
      <xdr:col>4</xdr:col>
      <xdr:colOff>480060</xdr:colOff>
      <xdr:row>28</xdr:row>
      <xdr:rowOff>160020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E3AD0EDF-2E54-41C0-81C4-E8F859B93E95}"/>
                </a:ext>
              </a:extLst>
            </xdr:cNvPr>
            <xdr:cNvSpPr txBox="1"/>
          </xdr:nvSpPr>
          <xdr:spPr>
            <a:xfrm>
              <a:off x="2362200" y="6873240"/>
              <a:ext cx="556260" cy="16002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 xmlns:m="http://schemas.openxmlformats.org/officeDocument/2006/math">
                  <m:sSub>
                    <m:sSubPr>
                      <m:ctrlPr>
                        <a:rPr kumimoji="0" lang="en-IN" sz="11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kumimoji="0" lang="en-IN" sz="11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Cambria Math" panose="02040503050406030204" pitchFamily="18" charset="0"/>
                          <a:cs typeface="+mn-cs"/>
                        </a:rPr>
                        <m:t>𝜸</m:t>
                      </m:r>
                    </m:e>
                    <m:sub>
                      <m:r>
                        <a:rPr kumimoji="0" lang="en-IN" sz="1100" b="1" i="1" u="none" strike="noStrike" kern="0" cap="none" spc="0" normalizeH="0" baseline="0" noProof="0" smtClean="0">
                          <a:ln>
                            <a:noFill/>
                          </a:ln>
                          <a:solidFill>
                            <a:sysClr val="windowText" lastClr="000000"/>
                          </a:solidFill>
                          <a:effectLst/>
                          <a:uLnTx/>
                          <a:uFillTx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𝒘</m:t>
                      </m:r>
                    </m:sub>
                  </m:sSub>
                  <m:r>
                    <a:rPr kumimoji="0" lang="en-IN" sz="11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(</m:t>
                  </m:r>
                  <m:r>
                    <a:rPr kumimoji="0" lang="en-IN" sz="1100" b="1" i="1" u="none" strike="noStrike" kern="0" cap="none" spc="0" normalizeH="0" baseline="0" noProof="0" smtClean="0">
                      <a:ln>
                        <a:noFill/>
                      </a:ln>
                      <a:solidFill>
                        <a:sysClr val="windowText" lastClr="000000"/>
                      </a:solidFill>
                      <a:effectLst/>
                      <a:uLnTx/>
                      <a:uFillTx/>
                      <a:latin typeface="Cambria Math" panose="02040503050406030204" pitchFamily="18" charset="0"/>
                      <a:ea typeface="+mn-ea"/>
                      <a:cs typeface="+mn-cs"/>
                    </a:rPr>
                    <m:t>𝑨𝑳</m:t>
                  </m:r>
                </m:oMath>
              </a14:m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Choice>
      <mc:Fallback xmlns=""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E3AD0EDF-2E54-41C0-81C4-E8F859B93E95}"/>
                </a:ext>
              </a:extLst>
            </xdr:cNvPr>
            <xdr:cNvSpPr txBox="1"/>
          </xdr:nvSpPr>
          <xdr:spPr>
            <a:xfrm>
              <a:off x="2362200" y="6873240"/>
              <a:ext cx="556260" cy="16002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_𝒘 (𝑨𝑳</a:t>
              </a:r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+mn-ea"/>
                  <a:cs typeface="+mn-cs"/>
                </a:rPr>
                <a:t>)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434340</xdr:colOff>
      <xdr:row>29</xdr:row>
      <xdr:rowOff>15240</xdr:rowOff>
    </xdr:from>
    <xdr:to>
      <xdr:col>4</xdr:col>
      <xdr:colOff>480060</xdr:colOff>
      <xdr:row>30</xdr:row>
      <xdr:rowOff>15240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0B2A10F2-3651-4F89-8A1E-40E5547AA0B5}"/>
                </a:ext>
              </a:extLst>
            </xdr:cNvPr>
            <xdr:cNvSpPr txBox="1"/>
          </xdr:nvSpPr>
          <xdr:spPr>
            <a:xfrm>
              <a:off x="2263140" y="7086600"/>
              <a:ext cx="655320" cy="18288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1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𝜸</m:t>
                        </m:r>
                      </m:e>
                      <m:sub>
                        <m:r>
                          <a:rPr kumimoji="0" lang="en-IN" sz="11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𝒔</m:t>
                        </m:r>
                      </m:sub>
                    </m:sSub>
                    <m:d>
                      <m:dPr>
                        <m:ctrlPr>
                          <a:rPr kumimoji="0" lang="en-IN" sz="11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dPr>
                      <m:e>
                        <m:r>
                          <a:rPr kumimoji="0" lang="en-IN" sz="1100" b="1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𝑩𝒅</m:t>
                        </m:r>
                        <m:sSub>
                          <m:sSubPr>
                            <m:ctrlPr>
                              <a:rPr kumimoji="0" lang="en-IN" sz="11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kumimoji="0" lang="en-IN" sz="11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𝑬</m:t>
                            </m:r>
                          </m:e>
                          <m:sub>
                            <m:r>
                              <a:rPr kumimoji="0" lang="en-IN" sz="1100" b="1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𝒄</m:t>
                            </m:r>
                          </m:sub>
                        </m:sSub>
                      </m:e>
                    </m:d>
                  </m:oMath>
                </m:oMathPara>
              </a14:m>
              <a:endParaRPr kumimoji="0" lang="en-IN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0B2A10F2-3651-4F89-8A1E-40E5547AA0B5}"/>
                </a:ext>
              </a:extLst>
            </xdr:cNvPr>
            <xdr:cNvSpPr txBox="1"/>
          </xdr:nvSpPr>
          <xdr:spPr>
            <a:xfrm>
              <a:off x="2263140" y="7086600"/>
              <a:ext cx="655320" cy="182880"/>
            </a:xfrm>
            <a:prstGeom prst="rect">
              <a:avLst/>
            </a:prstGeom>
            <a:noFill/>
            <a:ln>
              <a:noFill/>
            </a:ln>
            <a:effectLst/>
          </xdr:spPr>
          <xdr:txBody>
            <a:bodyPr vertOverflow="clip" horzOverflow="clip" wrap="none" lIns="0" tIns="0" rIns="0" bIns="0" rtlCol="0" anchor="t">
              <a:no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𝜸</a:t>
              </a:r>
              <a:r>
                <a:rPr kumimoji="0" lang="en-IN" sz="1100" b="1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_𝒔 (𝑩𝒅𝑬_𝒄 )</a:t>
              </a:r>
              <a:endParaRPr kumimoji="0" lang="en-IN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twoCellAnchor>
  <xdr:oneCellAnchor>
    <xdr:from>
      <xdr:col>3</xdr:col>
      <xdr:colOff>15240</xdr:colOff>
      <xdr:row>30</xdr:row>
      <xdr:rowOff>15240</xdr:rowOff>
    </xdr:from>
    <xdr:ext cx="98655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8" name="TextBox 17">
              <a:extLst>
                <a:ext uri="{FF2B5EF4-FFF2-40B4-BE49-F238E27FC236}">
                  <a16:creationId xmlns:a16="http://schemas.microsoft.com/office/drawing/2014/main" id="{34D15BAD-1C50-415A-B99E-8B6405D017C7}"/>
                </a:ext>
              </a:extLst>
            </xdr:cNvPr>
            <xdr:cNvSpPr txBox="1"/>
          </xdr:nvSpPr>
          <xdr:spPr>
            <a:xfrm>
              <a:off x="1844040" y="7269480"/>
              <a:ext cx="98655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1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𝒄</m:t>
                        </m:r>
                      </m:sub>
                    </m:sSub>
                    <m:r>
                      <a:rPr lang="en-IN" sz="11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11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𝒘</m:t>
                        </m:r>
                      </m:sub>
                    </m:sSub>
                    <m:r>
                      <a:rPr lang="en-IN" sz="11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11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𝑾</m:t>
                        </m:r>
                      </m:e>
                      <m:sub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</m:oMath>
                </m:oMathPara>
              </a14:m>
              <a:endParaRPr lang="en-IN" sz="1100" b="1"/>
            </a:p>
          </xdr:txBody>
        </xdr:sp>
      </mc:Choice>
      <mc:Fallback xmlns="">
        <xdr:sp macro="" textlink="">
          <xdr:nvSpPr>
            <xdr:cNvPr id="18" name="TextBox 17">
              <a:extLst>
                <a:ext uri="{FF2B5EF4-FFF2-40B4-BE49-F238E27FC236}">
                  <a16:creationId xmlns:a16="http://schemas.microsoft.com/office/drawing/2014/main" id="{34D15BAD-1C50-415A-B99E-8B6405D017C7}"/>
                </a:ext>
              </a:extLst>
            </xdr:cNvPr>
            <xdr:cNvSpPr txBox="1"/>
          </xdr:nvSpPr>
          <xdr:spPr>
            <a:xfrm>
              <a:off x="1844040" y="7269480"/>
              <a:ext cx="98655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IN" sz="1100" b="1" i="0">
                  <a:latin typeface="Cambria Math" panose="02040503050406030204" pitchFamily="18" charset="0"/>
                </a:rPr>
                <a:t>𝑾_𝒄+𝑾_𝒘+𝑾_𝒔</a:t>
              </a:r>
              <a:endParaRPr lang="en-IN" sz="1100" b="1"/>
            </a:p>
          </xdr:txBody>
        </xdr:sp>
      </mc:Fallback>
    </mc:AlternateContent>
    <xdr:clientData/>
  </xdr:oneCellAnchor>
  <xdr:oneCellAnchor>
    <xdr:from>
      <xdr:col>4</xdr:col>
      <xdr:colOff>274320</xdr:colOff>
      <xdr:row>33</xdr:row>
      <xdr:rowOff>15240</xdr:rowOff>
    </xdr:from>
    <xdr:ext cx="47109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>
              <a:extLst>
                <a:ext uri="{FF2B5EF4-FFF2-40B4-BE49-F238E27FC236}">
                  <a16:creationId xmlns:a16="http://schemas.microsoft.com/office/drawing/2014/main" id="{FDB07B67-7985-4F99-A71A-1601FF8A8851}"/>
                </a:ext>
              </a:extLst>
            </xdr:cNvPr>
            <xdr:cNvSpPr txBox="1"/>
          </xdr:nvSpPr>
          <xdr:spPr>
            <a:xfrm>
              <a:off x="2712720" y="7818120"/>
              <a:ext cx="47109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1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𝒇</m:t>
                        </m:r>
                      </m:e>
                      <m:sub>
                        <m:r>
                          <a:rPr lang="en-IN" sz="11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  <m:r>
                      <a:rPr lang="en-IN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×</m:t>
                    </m:r>
                    <m:r>
                      <a:rPr lang="en-IN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𝑾</m:t>
                    </m:r>
                  </m:oMath>
                </m:oMathPara>
              </a14:m>
              <a:endParaRPr lang="en-IN" sz="1100" b="1"/>
            </a:p>
          </xdr:txBody>
        </xdr:sp>
      </mc:Choice>
      <mc:Fallback xmlns="">
        <xdr:sp macro="" textlink="">
          <xdr:nvSpPr>
            <xdr:cNvPr id="19" name="TextBox 18">
              <a:extLst>
                <a:ext uri="{FF2B5EF4-FFF2-40B4-BE49-F238E27FC236}">
                  <a16:creationId xmlns:a16="http://schemas.microsoft.com/office/drawing/2014/main" id="{FDB07B67-7985-4F99-A71A-1601FF8A8851}"/>
                </a:ext>
              </a:extLst>
            </xdr:cNvPr>
            <xdr:cNvSpPr txBox="1"/>
          </xdr:nvSpPr>
          <xdr:spPr>
            <a:xfrm>
              <a:off x="2712720" y="7818120"/>
              <a:ext cx="47109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IN" sz="1100" b="1" i="0">
                  <a:latin typeface="Cambria Math" panose="02040503050406030204" pitchFamily="18" charset="0"/>
                </a:rPr>
                <a:t>𝒇_𝒔</a:t>
              </a:r>
              <a:r>
                <a:rPr lang="en-IN" sz="11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×𝑾</a:t>
              </a:r>
              <a:endParaRPr lang="en-IN" sz="1100" b="1"/>
            </a:p>
          </xdr:txBody>
        </xdr:sp>
      </mc:Fallback>
    </mc:AlternateContent>
    <xdr:clientData/>
  </xdr:oneCellAnchor>
  <xdr:oneCellAnchor>
    <xdr:from>
      <xdr:col>1</xdr:col>
      <xdr:colOff>0</xdr:colOff>
      <xdr:row>34</xdr:row>
      <xdr:rowOff>22860</xdr:rowOff>
    </xdr:from>
    <xdr:ext cx="4282440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1" name="TextBox 20">
              <a:extLst>
                <a:ext uri="{FF2B5EF4-FFF2-40B4-BE49-F238E27FC236}">
                  <a16:creationId xmlns:a16="http://schemas.microsoft.com/office/drawing/2014/main" id="{2F1B6632-886D-4206-B33D-171607946155}"/>
                </a:ext>
              </a:extLst>
            </xdr:cNvPr>
            <xdr:cNvSpPr txBox="1"/>
          </xdr:nvSpPr>
          <xdr:spPr>
            <a:xfrm>
              <a:off x="609600" y="8023860"/>
              <a:ext cx="4282440" cy="500137"/>
            </a:xfrm>
            <a:prstGeom prst="rect">
              <a:avLst/>
            </a:prstGeom>
            <a:noFill/>
            <a:ln w="9525">
              <a:solidFill>
                <a:sysClr val="windowText" lastClr="000000"/>
              </a:solidFill>
            </a:ln>
            <a:effectLst/>
          </xdr:spPr>
          <xdr:txBody>
            <a:bodyPr vertOverflow="clip" horzOverflow="clip" wrap="squar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𝑃𝑎𝑠𝑠𝑖𝑣𝑒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𝐸𝑎𝑟𝑡h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𝑃𝑟𝑒𝑠𝑠𝑢𝑟𝑒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 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𝑓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𝑝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sSub>
                      <m:sSub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𝛾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</m:t>
                        </m:r>
                      </m:sub>
                    </m:sSub>
                    <m:f>
                      <m:f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sSup>
                          <m:sSupPr>
                            <m:ctrlP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𝐻</m:t>
                            </m:r>
                          </m:e>
                          <m:sup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𝐿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f>
                      <m:fPr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𝑠𝑖𝑛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+2</m:t>
                    </m:r>
                    <m:r>
                      <a:rPr kumimoji="0" lang="en-IN" sz="1100" b="0" i="1" u="none" strike="noStrike" kern="0" cap="none" spc="0" normalizeH="0" baseline="0" noProof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𝐶𝐻𝐿</m:t>
                    </m:r>
                    <m:rad>
                      <m:radPr>
                        <m:degHide m:val="on"/>
                        <m:ctrlPr>
                          <a:rPr kumimoji="0" lang="en-IN" sz="1100" b="0" i="1" u="none" strike="noStrike" kern="0" cap="none" spc="0" normalizeH="0" baseline="0" noProof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1+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num>
                          <m:den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1−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den>
                        </m:f>
                      </m:e>
                    </m:rad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21" name="TextBox 20">
              <a:extLst>
                <a:ext uri="{FF2B5EF4-FFF2-40B4-BE49-F238E27FC236}">
                  <a16:creationId xmlns:a16="http://schemas.microsoft.com/office/drawing/2014/main" id="{2F1B6632-886D-4206-B33D-171607946155}"/>
                </a:ext>
              </a:extLst>
            </xdr:cNvPr>
            <xdr:cNvSpPr txBox="1"/>
          </xdr:nvSpPr>
          <xdr:spPr>
            <a:xfrm>
              <a:off x="609600" y="8023860"/>
              <a:ext cx="4282440" cy="500137"/>
            </a:xfrm>
            <a:prstGeom prst="rect">
              <a:avLst/>
            </a:prstGeom>
            <a:noFill/>
            <a:ln w="9525">
              <a:solidFill>
                <a:sysClr val="windowText" lastClr="000000"/>
              </a:solidFill>
            </a:ln>
            <a:effectLst/>
          </xdr:spPr>
          <xdr:txBody>
            <a:bodyPr vertOverflow="clip" horzOverflow="clip" wrap="squar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〖𝑃𝑎𝑠𝑠𝑖𝑣𝑒 𝐸𝑎𝑟𝑡ℎ 𝑃𝑟𝑒𝑠𝑠𝑢𝑟𝑒= 𝑓〗_𝑝=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𝛾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_𝑠  𝐻^2/2.𝐿.(1+𝑠𝑖𝑛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)+2𝐶𝐻𝐿√((1+𝑆𝑖𝑛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))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1</xdr:col>
      <xdr:colOff>0</xdr:colOff>
      <xdr:row>38</xdr:row>
      <xdr:rowOff>30480</xdr:rowOff>
    </xdr:from>
    <xdr:ext cx="4305300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2" name="TextBox 21">
              <a:extLst>
                <a:ext uri="{FF2B5EF4-FFF2-40B4-BE49-F238E27FC236}">
                  <a16:creationId xmlns:a16="http://schemas.microsoft.com/office/drawing/2014/main" id="{4FF3284B-846F-4164-AB4B-5009FE6FD2FF}"/>
                </a:ext>
              </a:extLst>
            </xdr:cNvPr>
            <xdr:cNvSpPr txBox="1"/>
          </xdr:nvSpPr>
          <xdr:spPr>
            <a:xfrm>
              <a:off x="609600" y="8778240"/>
              <a:ext cx="4305300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squar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𝐴𝑐𝑡𝑖𝑣𝑒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𝐸𝑎𝑟𝑡h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 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𝑃𝑟𝑒𝑠𝑠𝑢𝑟𝑒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𝑓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𝑎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sSub>
                      <m:sSub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𝛾</m:t>
                        </m:r>
                      </m:e>
                      <m:sub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</m:t>
                        </m:r>
                      </m:sub>
                    </m:sSub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𝑑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.</m:t>
                    </m:r>
                    <m:f>
                      <m:fPr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1−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𝑠𝑖𝑛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num>
                      <m:den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1+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𝑆𝑖𝑛</m:t>
                        </m:r>
                        <m: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𝜃</m:t>
                        </m:r>
                      </m:den>
                    </m:f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+2</m:t>
                    </m:r>
                    <m:r>
                      <a:rPr kumimoji="0" lang="en-IN" sz="1100" b="0" i="1" u="none" strike="noStrike" kern="0" cap="none" spc="0" normalizeH="0" baseline="0" noProof="0" smtClean="0">
                        <a:ln>
                          <a:noFill/>
                        </a:ln>
                        <a:solidFill>
                          <a:sysClr val="windowText" lastClr="000000"/>
                        </a:solidFill>
                        <a:effectLst/>
                        <a:uLnTx/>
                        <a:uFillTx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𝐶</m:t>
                    </m:r>
                    <m:rad>
                      <m:radPr>
                        <m:degHide m:val="on"/>
                        <m:ctrlPr>
                          <a:rPr kumimoji="0" lang="en-IN" sz="1100" b="0" i="1" u="none" strike="noStrike" kern="0" cap="none" spc="0" normalizeH="0" baseline="0" noProof="0" smtClean="0">
                            <a:ln>
                              <a:noFill/>
                            </a:ln>
                            <a:solidFill>
                              <a:sysClr val="windowText" lastClr="000000"/>
                            </a:solidFill>
                            <a:effectLst/>
                            <a:uLnTx/>
                            <a:uFillTx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1−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num>
                          <m:den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1+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𝑆𝑖𝑛</m:t>
                            </m:r>
                            <m:r>
                              <a:rPr kumimoji="0" lang="en-IN" sz="1100" b="0" i="1" u="none" strike="noStrike" kern="0" cap="none" spc="0" normalizeH="0" baseline="0" noProof="0" smtClean="0">
                                <a:ln>
                                  <a:noFill/>
                                </a:ln>
                                <a:solidFill>
                                  <a:sysClr val="windowText" lastClr="000000"/>
                                </a:solidFill>
                                <a:effectLst/>
                                <a:uLnTx/>
                                <a:uFillTx/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  <a:cs typeface="+mn-cs"/>
                              </a:rPr>
                              <m:t>𝜃</m:t>
                            </m:r>
                          </m:den>
                        </m:f>
                      </m:e>
                    </m:rad>
                  </m:oMath>
                </m:oMathPara>
              </a14:m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Choice>
      <mc:Fallback xmlns="">
        <xdr:sp macro="" textlink="">
          <xdr:nvSpPr>
            <xdr:cNvPr id="22" name="TextBox 21">
              <a:extLst>
                <a:ext uri="{FF2B5EF4-FFF2-40B4-BE49-F238E27FC236}">
                  <a16:creationId xmlns:a16="http://schemas.microsoft.com/office/drawing/2014/main" id="{4FF3284B-846F-4164-AB4B-5009FE6FD2FF}"/>
                </a:ext>
              </a:extLst>
            </xdr:cNvPr>
            <xdr:cNvSpPr txBox="1"/>
          </xdr:nvSpPr>
          <xdr:spPr>
            <a:xfrm>
              <a:off x="609600" y="8778240"/>
              <a:ext cx="4305300" cy="500137"/>
            </a:xfrm>
            <a:prstGeom prst="rect">
              <a:avLst/>
            </a:prstGeom>
            <a:noFill/>
            <a:ln w="9525">
              <a:solidFill>
                <a:schemeClr val="tx1"/>
              </a:solidFill>
            </a:ln>
            <a:effectLst/>
          </xdr:spPr>
          <xdr:txBody>
            <a:bodyPr vertOverflow="clip" horzOverflow="clip" wrap="square" lIns="0" tIns="0" rIns="0" bIns="0" rtlCol="0" anchor="t">
              <a:spAutoFit/>
            </a:bodyPr>
            <a:lstStyle/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〖𝐴𝑐𝑡𝑖𝑣𝑒 𝐸𝑎𝑟𝑡ℎ 𝑃𝑟𝑒𝑠𝑠𝑢𝑟𝑒=𝑓〗_𝑎=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𝛾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_𝑠.𝑑.(1−𝑠𝑖𝑛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)+2𝐶√((1−𝑆𝑖𝑛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)/(1+𝑆𝑖𝑛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𝜃</a:t>
              </a:r>
              <a:r>
                <a:rPr kumimoji="0" lang="en-IN" sz="11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mbria Math" panose="02040503050406030204" pitchFamily="18" charset="0"/>
                  <a:ea typeface="+mn-ea"/>
                  <a:cs typeface="+mn-cs"/>
                </a:rPr>
                <a:t>))</a:t>
              </a:r>
              <a:endParaRPr kumimoji="0" lang="en-IN" sz="11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+mn-ea"/>
                <a:cs typeface="+mn-cs"/>
              </a:endParaRPr>
            </a:p>
          </xdr:txBody>
        </xdr:sp>
      </mc:Fallback>
    </mc:AlternateContent>
    <xdr:clientData/>
  </xdr:oneCellAnchor>
  <xdr:oneCellAnchor>
    <xdr:from>
      <xdr:col>3</xdr:col>
      <xdr:colOff>441960</xdr:colOff>
      <xdr:row>42</xdr:row>
      <xdr:rowOff>22860</xdr:rowOff>
    </xdr:from>
    <xdr:ext cx="759310" cy="1678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>
              <a:extLst>
                <a:ext uri="{FF2B5EF4-FFF2-40B4-BE49-F238E27FC236}">
                  <a16:creationId xmlns:a16="http://schemas.microsoft.com/office/drawing/2014/main" id="{C4EA3C3C-6999-4A9C-A2C0-433CF40AF72C}"/>
                </a:ext>
              </a:extLst>
            </xdr:cNvPr>
            <xdr:cNvSpPr txBox="1"/>
          </xdr:nvSpPr>
          <xdr:spPr>
            <a:xfrm>
              <a:off x="2270760" y="9517380"/>
              <a:ext cx="759310" cy="1678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0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𝒔</m:t>
                        </m:r>
                      </m:sub>
                    </m:sSub>
                    <m:r>
                      <a:rPr lang="en-IN" sz="10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10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𝒑</m:t>
                        </m:r>
                      </m:sub>
                    </m:sSub>
                    <m:r>
                      <a:rPr lang="en-IN" sz="1000" b="1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IN" sz="10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𝑭</m:t>
                        </m:r>
                      </m:e>
                      <m:sub>
                        <m:r>
                          <a:rPr lang="en-IN" sz="1000" b="1" i="1">
                            <a:latin typeface="Cambria Math" panose="02040503050406030204" pitchFamily="18" charset="0"/>
                          </a:rPr>
                          <m:t>𝒂</m:t>
                        </m:r>
                      </m:sub>
                    </m:sSub>
                  </m:oMath>
                </m:oMathPara>
              </a14:m>
              <a:endParaRPr lang="en-IN" sz="1000" b="1"/>
            </a:p>
          </xdr:txBody>
        </xdr:sp>
      </mc:Choice>
      <mc:Fallback xmlns="">
        <xdr:sp macro="" textlink="">
          <xdr:nvSpPr>
            <xdr:cNvPr id="23" name="TextBox 22">
              <a:extLst>
                <a:ext uri="{FF2B5EF4-FFF2-40B4-BE49-F238E27FC236}">
                  <a16:creationId xmlns:a16="http://schemas.microsoft.com/office/drawing/2014/main" id="{C4EA3C3C-6999-4A9C-A2C0-433CF40AF72C}"/>
                </a:ext>
              </a:extLst>
            </xdr:cNvPr>
            <xdr:cNvSpPr txBox="1"/>
          </xdr:nvSpPr>
          <xdr:spPr>
            <a:xfrm>
              <a:off x="2270760" y="9517380"/>
              <a:ext cx="759310" cy="1678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IN" sz="1000" b="1" i="0">
                  <a:latin typeface="Cambria Math" panose="02040503050406030204" pitchFamily="18" charset="0"/>
                </a:rPr>
                <a:t>𝑭_𝒔+𝑭_𝒑+𝑭_𝒂</a:t>
              </a:r>
              <a:endParaRPr lang="en-IN" sz="1000" b="1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D96DE-A9B9-4923-8AC1-5E2820896F82}">
  <dimension ref="A1:Z38"/>
  <sheetViews>
    <sheetView showGridLines="0" showRowColHeaders="0" tabSelected="1" topLeftCell="B1" workbookViewId="0">
      <selection activeCell="V1" sqref="V1:Y3"/>
    </sheetView>
  </sheetViews>
  <sheetFormatPr defaultRowHeight="14.4" x14ac:dyDescent="0.3"/>
  <cols>
    <col min="1" max="1" width="4.88671875" customWidth="1"/>
    <col min="2" max="2" width="6.77734375" customWidth="1"/>
    <col min="3" max="3" width="5.21875" customWidth="1"/>
    <col min="4" max="4" width="6" customWidth="1"/>
    <col min="5" max="5" width="7.88671875" bestFit="1" customWidth="1"/>
    <col min="6" max="6" width="6.88671875" customWidth="1"/>
    <col min="7" max="7" width="7.33203125" bestFit="1" customWidth="1"/>
    <col min="8" max="8" width="7.77734375" customWidth="1"/>
    <col min="9" max="9" width="7.5546875" bestFit="1" customWidth="1"/>
    <col min="10" max="10" width="7.88671875" customWidth="1"/>
    <col min="11" max="11" width="10" bestFit="1" customWidth="1"/>
    <col min="12" max="12" width="7.21875" customWidth="1"/>
    <col min="18" max="18" width="8.88671875" customWidth="1"/>
    <col min="20" max="20" width="11.21875" customWidth="1"/>
    <col min="21" max="21" width="9.6640625" customWidth="1"/>
    <col min="25" max="25" width="5.5546875" customWidth="1"/>
    <col min="26" max="26" width="3.44140625" customWidth="1"/>
  </cols>
  <sheetData>
    <row r="1" spans="1:26" ht="14.4" customHeight="1" x14ac:dyDescent="0.3">
      <c r="B1" s="55" t="s">
        <v>7</v>
      </c>
      <c r="C1" s="55"/>
      <c r="D1" s="55"/>
      <c r="E1" s="55"/>
      <c r="F1" s="55"/>
      <c r="G1" s="55"/>
      <c r="H1" s="55"/>
      <c r="I1" s="55"/>
      <c r="J1" s="55"/>
      <c r="K1" s="55"/>
      <c r="N1" s="42" t="s">
        <v>80</v>
      </c>
      <c r="O1" s="42"/>
      <c r="P1" s="42"/>
      <c r="Q1" s="42"/>
      <c r="R1" s="42"/>
      <c r="S1" s="42"/>
      <c r="T1" s="42"/>
      <c r="V1" s="70" t="s">
        <v>109</v>
      </c>
      <c r="W1" s="71"/>
      <c r="X1" s="71"/>
      <c r="Y1" s="72"/>
      <c r="Z1" s="79"/>
    </row>
    <row r="2" spans="1:26" x14ac:dyDescent="0.3">
      <c r="B2" s="56" t="s">
        <v>20</v>
      </c>
      <c r="C2" s="56"/>
      <c r="D2" s="56"/>
      <c r="E2" s="56"/>
      <c r="F2" s="56"/>
      <c r="G2" s="6" t="s">
        <v>19</v>
      </c>
      <c r="H2" s="7" t="s">
        <v>25</v>
      </c>
      <c r="I2" s="6" t="s">
        <v>22</v>
      </c>
      <c r="J2" s="7" t="s">
        <v>25</v>
      </c>
      <c r="K2" s="6" t="s">
        <v>22</v>
      </c>
      <c r="V2" s="73"/>
      <c r="W2" s="74"/>
      <c r="X2" s="74"/>
      <c r="Y2" s="75"/>
      <c r="Z2" s="79"/>
    </row>
    <row r="3" spans="1:26" ht="15" thickBot="1" x14ac:dyDescent="0.35">
      <c r="B3" s="57" t="s">
        <v>21</v>
      </c>
      <c r="C3" s="58"/>
      <c r="D3" s="58"/>
      <c r="E3" s="58"/>
      <c r="F3" s="59"/>
      <c r="G3" s="3"/>
      <c r="H3" s="23">
        <v>1800</v>
      </c>
      <c r="I3" s="3" t="s">
        <v>5</v>
      </c>
      <c r="J3" s="4">
        <f>ROUND(H3/1000,3)</f>
        <v>1.8</v>
      </c>
      <c r="K3" s="3" t="s">
        <v>6</v>
      </c>
      <c r="V3" s="76"/>
      <c r="W3" s="77"/>
      <c r="X3" s="77"/>
      <c r="Y3" s="78"/>
      <c r="Z3" s="79"/>
    </row>
    <row r="4" spans="1:26" x14ac:dyDescent="0.3">
      <c r="B4" s="57" t="s">
        <v>23</v>
      </c>
      <c r="C4" s="58"/>
      <c r="D4" s="58"/>
      <c r="E4" s="58"/>
      <c r="F4" s="59"/>
      <c r="G4" s="3"/>
      <c r="H4" s="23">
        <v>30</v>
      </c>
      <c r="I4" s="3" t="s">
        <v>24</v>
      </c>
      <c r="J4" s="3">
        <f>ROUND(H4*PI()/180,3)</f>
        <v>0.52400000000000002</v>
      </c>
      <c r="K4" s="3" t="s">
        <v>34</v>
      </c>
    </row>
    <row r="5" spans="1:26" ht="30" customHeight="1" x14ac:dyDescent="0.3">
      <c r="B5" s="60" t="s">
        <v>75</v>
      </c>
      <c r="C5" s="58"/>
      <c r="D5" s="59"/>
      <c r="E5" s="62" t="s">
        <v>29</v>
      </c>
      <c r="F5" s="62"/>
      <c r="G5" s="11" t="s">
        <v>26</v>
      </c>
      <c r="H5" s="12">
        <f>IFERROR(VLOOKUP(E5,Soil_Cohesion,2,FALSE),"")</f>
        <v>0</v>
      </c>
      <c r="I5" s="12"/>
      <c r="J5" s="13">
        <f>H5</f>
        <v>0</v>
      </c>
      <c r="K5" s="12"/>
    </row>
    <row r="6" spans="1:26" ht="15.6" x14ac:dyDescent="0.35">
      <c r="B6" s="57" t="s">
        <v>35</v>
      </c>
      <c r="C6" s="58"/>
      <c r="D6" s="58"/>
      <c r="E6" s="58"/>
      <c r="F6" s="59"/>
      <c r="G6" s="5" t="s">
        <v>36</v>
      </c>
      <c r="H6" s="23">
        <v>0.3</v>
      </c>
      <c r="I6" s="8"/>
      <c r="J6" s="3">
        <f>IF(H6&lt;&gt;"",H6,"")</f>
        <v>0.3</v>
      </c>
      <c r="K6" s="8"/>
    </row>
    <row r="8" spans="1:26" x14ac:dyDescent="0.3">
      <c r="B8" s="55" t="s">
        <v>58</v>
      </c>
      <c r="C8" s="55"/>
      <c r="D8" s="55"/>
      <c r="E8" s="55"/>
      <c r="F8" s="55"/>
      <c r="G8" s="55"/>
      <c r="H8" s="55"/>
      <c r="I8" s="55"/>
      <c r="J8" s="55"/>
      <c r="K8" s="55"/>
      <c r="L8" s="55"/>
    </row>
    <row r="9" spans="1:26" ht="16.2" x14ac:dyDescent="0.3">
      <c r="B9" s="63" t="s">
        <v>59</v>
      </c>
      <c r="C9" s="63"/>
      <c r="D9" s="63"/>
      <c r="E9" s="23">
        <v>2300</v>
      </c>
      <c r="F9" s="3" t="s">
        <v>60</v>
      </c>
      <c r="G9" s="64" t="s">
        <v>65</v>
      </c>
      <c r="H9" s="64"/>
      <c r="I9" s="8">
        <v>1000</v>
      </c>
      <c r="J9" s="3" t="s">
        <v>60</v>
      </c>
      <c r="K9" s="50" t="s">
        <v>66</v>
      </c>
      <c r="L9" s="23">
        <v>60</v>
      </c>
      <c r="N9" s="46" t="s">
        <v>81</v>
      </c>
      <c r="O9" s="46"/>
      <c r="P9" s="46"/>
      <c r="R9" s="3" t="s">
        <v>1</v>
      </c>
      <c r="S9" s="43" t="s">
        <v>0</v>
      </c>
      <c r="T9" s="43"/>
    </row>
    <row r="10" spans="1:26" x14ac:dyDescent="0.3">
      <c r="B10" s="63"/>
      <c r="C10" s="63"/>
      <c r="D10" s="63"/>
      <c r="E10" s="3">
        <f>ROUND(E9/1000,2)</f>
        <v>2.2999999999999998</v>
      </c>
      <c r="F10" s="24" t="s">
        <v>61</v>
      </c>
      <c r="G10" s="64"/>
      <c r="H10" s="64"/>
      <c r="I10" s="3">
        <f>ROUND(I9/1000,2)</f>
        <v>1</v>
      </c>
      <c r="J10" s="24" t="s">
        <v>61</v>
      </c>
      <c r="K10" s="50"/>
      <c r="L10" s="25" t="s">
        <v>8</v>
      </c>
      <c r="N10" s="47"/>
      <c r="O10" s="47"/>
      <c r="P10" s="3">
        <f>ROUND((1+SIN(J4))/(1-SIN(J4)),3)</f>
        <v>3.0030000000000001</v>
      </c>
      <c r="R10" t="b">
        <f>AND(H3&lt;&gt;"",H4&lt;&gt;"",E5&lt;&gt;"",H6&lt;&gt;"",E9&lt;&gt;"",L9&lt;&gt;"")</f>
        <v>1</v>
      </c>
      <c r="S10" t="str">
        <f>IF(R10,"All Parameters Defined","One or more Parameters NOT defined")</f>
        <v>All Parameters Defined</v>
      </c>
    </row>
    <row r="11" spans="1:26" x14ac:dyDescent="0.3">
      <c r="B11" s="14"/>
      <c r="C11" s="14"/>
      <c r="D11" s="14"/>
      <c r="F11" s="9"/>
      <c r="G11" s="15"/>
      <c r="H11" s="15"/>
      <c r="J11" s="9"/>
      <c r="K11" s="16"/>
      <c r="L11" s="1"/>
      <c r="N11" s="47"/>
      <c r="O11" s="47"/>
      <c r="P11" s="3">
        <f>ROUND(1/P10,3)</f>
        <v>0.33300000000000002</v>
      </c>
    </row>
    <row r="12" spans="1:26" ht="15" thickBot="1" x14ac:dyDescent="0.35">
      <c r="B12" s="10"/>
      <c r="C12" s="10"/>
      <c r="D12" s="10"/>
      <c r="E12" s="10"/>
      <c r="G12" s="9"/>
      <c r="H12" s="10"/>
      <c r="I12" s="10"/>
      <c r="J12" s="10"/>
      <c r="K12" s="10"/>
    </row>
    <row r="13" spans="1:26" ht="14.4" customHeight="1" x14ac:dyDescent="0.3">
      <c r="A13" s="53" t="s">
        <v>86</v>
      </c>
      <c r="B13" s="51" t="s">
        <v>44</v>
      </c>
      <c r="C13" s="48"/>
      <c r="D13" s="48"/>
      <c r="E13" s="52" t="s">
        <v>51</v>
      </c>
      <c r="F13" s="48" t="s">
        <v>47</v>
      </c>
      <c r="G13" s="48"/>
      <c r="H13" s="48" t="s">
        <v>42</v>
      </c>
      <c r="I13" s="48"/>
      <c r="J13" s="48" t="s">
        <v>45</v>
      </c>
      <c r="K13" s="48"/>
      <c r="L13" s="49" t="s">
        <v>52</v>
      </c>
      <c r="M13" s="49"/>
      <c r="N13" s="49" t="s">
        <v>54</v>
      </c>
      <c r="O13" s="49"/>
      <c r="P13" s="49"/>
      <c r="Q13" s="45" t="s">
        <v>62</v>
      </c>
      <c r="R13" s="45"/>
      <c r="S13" s="45"/>
      <c r="T13" s="45"/>
      <c r="U13" s="45" t="s">
        <v>9</v>
      </c>
      <c r="V13" s="45"/>
      <c r="W13" s="45"/>
      <c r="X13" s="45"/>
      <c r="Y13" s="40" t="s">
        <v>108</v>
      </c>
      <c r="Z13" s="44" t="s">
        <v>85</v>
      </c>
    </row>
    <row r="14" spans="1:26" ht="46.2" customHeight="1" x14ac:dyDescent="0.3">
      <c r="A14" s="54"/>
      <c r="B14" s="51"/>
      <c r="C14" s="48"/>
      <c r="D14" s="48"/>
      <c r="E14" s="52"/>
      <c r="F14" s="48"/>
      <c r="G14" s="48"/>
      <c r="H14" s="48"/>
      <c r="I14" s="48"/>
      <c r="J14" s="48"/>
      <c r="K14" s="48"/>
      <c r="L14" s="49"/>
      <c r="M14" s="49"/>
      <c r="N14" s="49"/>
      <c r="O14" s="49"/>
      <c r="P14" s="49"/>
      <c r="Q14" s="18" t="s">
        <v>64</v>
      </c>
      <c r="R14" s="18" t="s">
        <v>67</v>
      </c>
      <c r="S14" s="18" t="s">
        <v>52</v>
      </c>
      <c r="T14" s="19" t="s">
        <v>70</v>
      </c>
      <c r="U14" s="20" t="s">
        <v>72</v>
      </c>
      <c r="V14" s="18" t="s">
        <v>73</v>
      </c>
      <c r="W14" s="18" t="s">
        <v>74</v>
      </c>
      <c r="X14" s="18" t="s">
        <v>70</v>
      </c>
      <c r="Y14" s="41"/>
      <c r="Z14" s="44"/>
    </row>
    <row r="15" spans="1:26" ht="15.6" customHeight="1" x14ac:dyDescent="0.35">
      <c r="A15" s="54"/>
      <c r="B15" s="61" t="s">
        <v>37</v>
      </c>
      <c r="C15" s="45"/>
      <c r="D15" s="45"/>
      <c r="E15" s="7" t="s">
        <v>39</v>
      </c>
      <c r="F15" s="45" t="s">
        <v>38</v>
      </c>
      <c r="G15" s="45"/>
      <c r="H15" s="45" t="s">
        <v>40</v>
      </c>
      <c r="I15" s="45"/>
      <c r="J15" s="45" t="s">
        <v>41</v>
      </c>
      <c r="K15" s="45"/>
      <c r="L15" s="45" t="s">
        <v>53</v>
      </c>
      <c r="M15" s="45"/>
      <c r="N15" s="7" t="s">
        <v>55</v>
      </c>
      <c r="O15" s="7" t="s">
        <v>56</v>
      </c>
      <c r="P15" s="7" t="s">
        <v>57</v>
      </c>
      <c r="Q15" s="7" t="s">
        <v>63</v>
      </c>
      <c r="R15" s="7" t="s">
        <v>68</v>
      </c>
      <c r="S15" s="7" t="s">
        <v>69</v>
      </c>
      <c r="T15" s="7" t="s">
        <v>71</v>
      </c>
      <c r="U15" s="7" t="s">
        <v>78</v>
      </c>
      <c r="V15" s="7" t="s">
        <v>76</v>
      </c>
      <c r="W15" s="7" t="s">
        <v>77</v>
      </c>
      <c r="X15" s="7" t="s">
        <v>79</v>
      </c>
      <c r="Y15" s="41"/>
      <c r="Z15" s="44"/>
    </row>
    <row r="16" spans="1:26" ht="14.4" customHeight="1" x14ac:dyDescent="0.3">
      <c r="A16" s="27"/>
      <c r="B16" s="26" t="s">
        <v>43</v>
      </c>
      <c r="C16" s="19" t="s">
        <v>8</v>
      </c>
      <c r="D16" s="19" t="s">
        <v>10</v>
      </c>
      <c r="E16" s="19" t="s">
        <v>82</v>
      </c>
      <c r="F16" s="19" t="s">
        <v>48</v>
      </c>
      <c r="G16" s="19" t="s">
        <v>49</v>
      </c>
      <c r="H16" s="19" t="s">
        <v>83</v>
      </c>
      <c r="I16" s="19" t="s">
        <v>84</v>
      </c>
      <c r="J16" s="18" t="s">
        <v>46</v>
      </c>
      <c r="K16" s="19" t="s">
        <v>50</v>
      </c>
      <c r="L16" s="19" t="s">
        <v>8</v>
      </c>
      <c r="M16" s="19" t="s">
        <v>10</v>
      </c>
      <c r="N16" s="19" t="s">
        <v>10</v>
      </c>
      <c r="O16" s="19" t="s">
        <v>10</v>
      </c>
      <c r="P16" s="19" t="s">
        <v>10</v>
      </c>
      <c r="Q16" s="19" t="s">
        <v>50</v>
      </c>
      <c r="R16" s="19" t="s">
        <v>50</v>
      </c>
      <c r="S16" s="19" t="s">
        <v>50</v>
      </c>
      <c r="T16" s="19" t="s">
        <v>50</v>
      </c>
      <c r="U16" s="19" t="s">
        <v>50</v>
      </c>
      <c r="V16" s="19" t="s">
        <v>50</v>
      </c>
      <c r="W16" s="19" t="s">
        <v>50</v>
      </c>
      <c r="X16" s="19" t="s">
        <v>50</v>
      </c>
      <c r="Y16" s="41"/>
      <c r="Z16" s="44"/>
    </row>
    <row r="17" spans="1:26" ht="14.4" hidden="1" customHeight="1" x14ac:dyDescent="0.3">
      <c r="A17" s="31"/>
      <c r="B17" s="26"/>
      <c r="C17" s="19"/>
      <c r="D17" s="19"/>
      <c r="E17" s="19"/>
      <c r="F17" s="19"/>
      <c r="G17" s="19"/>
      <c r="H17" s="19"/>
      <c r="I17" s="19"/>
      <c r="J17" s="18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7"/>
      <c r="Z17" s="32"/>
    </row>
    <row r="18" spans="1:26" ht="14.4" customHeight="1" x14ac:dyDescent="0.3">
      <c r="A18" s="31">
        <v>0</v>
      </c>
      <c r="B18" s="26">
        <f>A18+1</f>
        <v>1</v>
      </c>
      <c r="C18" s="26">
        <f t="shared" ref="C18:Y18" si="0">B18+1</f>
        <v>2</v>
      </c>
      <c r="D18" s="26">
        <f t="shared" si="0"/>
        <v>3</v>
      </c>
      <c r="E18" s="26">
        <f t="shared" si="0"/>
        <v>4</v>
      </c>
      <c r="F18" s="26">
        <f t="shared" si="0"/>
        <v>5</v>
      </c>
      <c r="G18" s="26">
        <f t="shared" si="0"/>
        <v>6</v>
      </c>
      <c r="H18" s="26">
        <f t="shared" si="0"/>
        <v>7</v>
      </c>
      <c r="I18" s="26">
        <f t="shared" si="0"/>
        <v>8</v>
      </c>
      <c r="J18" s="26">
        <f t="shared" si="0"/>
        <v>9</v>
      </c>
      <c r="K18" s="26">
        <f t="shared" si="0"/>
        <v>10</v>
      </c>
      <c r="L18" s="26">
        <f t="shared" si="0"/>
        <v>11</v>
      </c>
      <c r="M18" s="26">
        <f t="shared" si="0"/>
        <v>12</v>
      </c>
      <c r="N18" s="26">
        <f t="shared" si="0"/>
        <v>13</v>
      </c>
      <c r="O18" s="26">
        <f t="shared" si="0"/>
        <v>14</v>
      </c>
      <c r="P18" s="26">
        <f t="shared" si="0"/>
        <v>15</v>
      </c>
      <c r="Q18" s="26">
        <f t="shared" si="0"/>
        <v>16</v>
      </c>
      <c r="R18" s="26">
        <f t="shared" si="0"/>
        <v>17</v>
      </c>
      <c r="S18" s="26">
        <f t="shared" si="0"/>
        <v>18</v>
      </c>
      <c r="T18" s="26">
        <f t="shared" si="0"/>
        <v>19</v>
      </c>
      <c r="U18" s="26">
        <f t="shared" si="0"/>
        <v>20</v>
      </c>
      <c r="V18" s="26">
        <f t="shared" si="0"/>
        <v>21</v>
      </c>
      <c r="W18" s="26">
        <f t="shared" si="0"/>
        <v>22</v>
      </c>
      <c r="X18" s="26">
        <f t="shared" si="0"/>
        <v>23</v>
      </c>
      <c r="Y18" s="26">
        <f t="shared" si="0"/>
        <v>24</v>
      </c>
      <c r="Z18" s="32"/>
    </row>
    <row r="19" spans="1:26" x14ac:dyDescent="0.3">
      <c r="A19" s="3">
        <f>IF(AND(B19&lt;&gt;"",E19&lt;&gt;"",F19&lt;&gt;"",L19&lt;&gt;"",N19&lt;&gt;"",O19&lt;&gt;"",P19&lt;&gt;""),A18+1,"")</f>
        <v>1</v>
      </c>
      <c r="B19" s="23">
        <v>900</v>
      </c>
      <c r="C19" s="8">
        <f>ROUND(B19/10,2)</f>
        <v>90</v>
      </c>
      <c r="D19" s="21">
        <f>ROUND(C19/100,2)</f>
        <v>0.9</v>
      </c>
      <c r="E19" s="23">
        <v>11</v>
      </c>
      <c r="F19" s="23">
        <v>45</v>
      </c>
      <c r="G19" s="8">
        <f>ROUND(F19*PI()/180,3)</f>
        <v>0.78500000000000003</v>
      </c>
      <c r="H19" s="8">
        <f>ROUND(PI()*C19*C19/4,0)</f>
        <v>6362</v>
      </c>
      <c r="I19" s="8">
        <f>ROUND(PI()*D19*D19/4,2)</f>
        <v>0.64</v>
      </c>
      <c r="J19" s="8">
        <f>ROUND(2*E19*H19*SIN(G19/2),0)</f>
        <v>53536</v>
      </c>
      <c r="K19" s="22">
        <f>ROUND(J19/1000,2)</f>
        <v>53.54</v>
      </c>
      <c r="L19" s="23">
        <f>$L$9</f>
        <v>60</v>
      </c>
      <c r="M19" s="8">
        <f>ROUND(L19/100,2)</f>
        <v>0.6</v>
      </c>
      <c r="N19" s="23">
        <v>3.2</v>
      </c>
      <c r="O19" s="23">
        <f>IF(N19&lt;&gt;"",N19,"")</f>
        <v>3.2</v>
      </c>
      <c r="P19" s="23">
        <f>IF(O19&lt;&gt;"",O19,"")</f>
        <v>3.2</v>
      </c>
      <c r="Q19" s="8">
        <f>ROUND($E$10*N19*O19*P19,2)</f>
        <v>75.37</v>
      </c>
      <c r="R19" s="8">
        <f>ROUND($I$10*I19*N19,2)</f>
        <v>2.0499999999999998</v>
      </c>
      <c r="S19" s="8">
        <f>ROUND($J$3*O19*D19*M19,2)</f>
        <v>3.11</v>
      </c>
      <c r="T19" s="8">
        <f>Q19+R19+S19</f>
        <v>80.53</v>
      </c>
      <c r="U19" s="8">
        <f>ROUND($H$6*T19,2)</f>
        <v>24.16</v>
      </c>
      <c r="V19" s="8">
        <f>ROUND(($J$3*(P19^2)*N19*$P$10/2)+(2*$J$5*P19*N19*SQRT($P$10)),2)</f>
        <v>88.56</v>
      </c>
      <c r="W19" s="8">
        <f>ROUND(($J$3*D19*$P$11)+(2*$J$5*$P$11),2)</f>
        <v>0.54</v>
      </c>
      <c r="X19" s="22">
        <f>U19+V19+W19</f>
        <v>113.26</v>
      </c>
      <c r="Y19" s="3">
        <f>ROUND(X19/K19,2)</f>
        <v>2.12</v>
      </c>
      <c r="Z19" t="b">
        <f>OR(AND(B19&lt;&gt;"",E19&lt;&gt;"",F19&lt;&gt;"",L19&lt;&gt;"",N19&lt;&gt;"",O19&lt;&gt;"",P19&lt;&gt;""),AND(B19="",E19="",F19="",L19="",N19="",O19="",P19=""))</f>
        <v>1</v>
      </c>
    </row>
    <row r="20" spans="1:26" x14ac:dyDescent="0.3">
      <c r="A20" s="3" t="str">
        <f t="shared" ref="A20:A38" si="1">IF(AND(B20&lt;&gt;"",E20&lt;&gt;"",F20&lt;&gt;"",L20&lt;&gt;"",N20&lt;&gt;"",O20&lt;&gt;"",P20&lt;&gt;""),A19+1,"")</f>
        <v/>
      </c>
      <c r="B20" s="23"/>
      <c r="C20" s="8"/>
      <c r="D20" s="21"/>
      <c r="E20" s="23"/>
      <c r="F20" s="23"/>
      <c r="G20" s="8"/>
      <c r="H20" s="8"/>
      <c r="I20" s="8"/>
      <c r="J20" s="8"/>
      <c r="K20" s="22"/>
      <c r="L20" s="23"/>
      <c r="M20" s="8"/>
      <c r="N20" s="23"/>
      <c r="O20" s="23"/>
      <c r="P20" s="23"/>
      <c r="Q20" s="8"/>
      <c r="R20" s="8"/>
      <c r="S20" s="8"/>
      <c r="T20" s="8"/>
      <c r="U20" s="8"/>
      <c r="V20" s="8"/>
      <c r="W20" s="8"/>
      <c r="X20" s="22"/>
      <c r="Y20" s="3"/>
      <c r="Z20" t="b">
        <f t="shared" ref="Z20:Z38" si="2">OR(AND(B20&lt;&gt;"",E20&lt;&gt;"",F20&lt;&gt;"",L20&lt;&gt;"",N20&lt;&gt;"",O20&lt;&gt;"",P20&lt;&gt;""),AND(B20="",E20="",F20="",L20="",N20="",O20="",P20=""))</f>
        <v>1</v>
      </c>
    </row>
    <row r="21" spans="1:26" x14ac:dyDescent="0.3">
      <c r="A21" s="3" t="str">
        <f t="shared" si="1"/>
        <v/>
      </c>
      <c r="B21" s="23"/>
      <c r="C21" s="8"/>
      <c r="D21" s="21"/>
      <c r="E21" s="23"/>
      <c r="F21" s="23"/>
      <c r="G21" s="8"/>
      <c r="H21" s="8"/>
      <c r="I21" s="8"/>
      <c r="J21" s="8"/>
      <c r="K21" s="22"/>
      <c r="L21" s="23"/>
      <c r="M21" s="8"/>
      <c r="N21" s="23"/>
      <c r="O21" s="23"/>
      <c r="P21" s="23"/>
      <c r="Q21" s="8"/>
      <c r="R21" s="8"/>
      <c r="S21" s="8"/>
      <c r="T21" s="8"/>
      <c r="U21" s="8"/>
      <c r="V21" s="8"/>
      <c r="W21" s="8"/>
      <c r="X21" s="22"/>
      <c r="Y21" s="3"/>
      <c r="Z21" t="b">
        <f t="shared" si="2"/>
        <v>1</v>
      </c>
    </row>
    <row r="22" spans="1:26" x14ac:dyDescent="0.3">
      <c r="A22" s="3" t="str">
        <f t="shared" si="1"/>
        <v/>
      </c>
      <c r="B22" s="23"/>
      <c r="C22" s="8"/>
      <c r="D22" s="21"/>
      <c r="E22" s="23"/>
      <c r="F22" s="23"/>
      <c r="G22" s="8"/>
      <c r="H22" s="8"/>
      <c r="I22" s="8"/>
      <c r="J22" s="8"/>
      <c r="K22" s="22"/>
      <c r="L22" s="23"/>
      <c r="M22" s="8"/>
      <c r="N22" s="23"/>
      <c r="O22" s="23"/>
      <c r="P22" s="23"/>
      <c r="Q22" s="8"/>
      <c r="R22" s="8"/>
      <c r="S22" s="8"/>
      <c r="T22" s="8"/>
      <c r="U22" s="8"/>
      <c r="V22" s="8"/>
      <c r="W22" s="8"/>
      <c r="X22" s="22"/>
      <c r="Y22" s="3"/>
      <c r="Z22" t="b">
        <f t="shared" si="2"/>
        <v>1</v>
      </c>
    </row>
    <row r="23" spans="1:26" x14ac:dyDescent="0.3">
      <c r="A23" s="3" t="str">
        <f t="shared" si="1"/>
        <v/>
      </c>
      <c r="B23" s="23"/>
      <c r="C23" s="8"/>
      <c r="D23" s="21"/>
      <c r="E23" s="23"/>
      <c r="F23" s="23"/>
      <c r="G23" s="8"/>
      <c r="H23" s="8"/>
      <c r="I23" s="8"/>
      <c r="J23" s="8"/>
      <c r="K23" s="22"/>
      <c r="L23" s="23"/>
      <c r="M23" s="8"/>
      <c r="N23" s="23"/>
      <c r="O23" s="23"/>
      <c r="P23" s="23"/>
      <c r="Q23" s="8"/>
      <c r="R23" s="8"/>
      <c r="S23" s="8"/>
      <c r="T23" s="8"/>
      <c r="U23" s="8"/>
      <c r="V23" s="8"/>
      <c r="W23" s="8"/>
      <c r="X23" s="22"/>
      <c r="Y23" s="3"/>
      <c r="Z23" t="b">
        <f t="shared" si="2"/>
        <v>1</v>
      </c>
    </row>
    <row r="24" spans="1:26" x14ac:dyDescent="0.3">
      <c r="A24" s="3" t="str">
        <f t="shared" si="1"/>
        <v/>
      </c>
      <c r="B24" s="23"/>
      <c r="C24" s="8"/>
      <c r="D24" s="21"/>
      <c r="E24" s="23"/>
      <c r="F24" s="23"/>
      <c r="G24" s="8"/>
      <c r="H24" s="8"/>
      <c r="I24" s="8"/>
      <c r="J24" s="8"/>
      <c r="K24" s="22"/>
      <c r="L24" s="23"/>
      <c r="M24" s="8"/>
      <c r="N24" s="23"/>
      <c r="O24" s="23"/>
      <c r="P24" s="23"/>
      <c r="Q24" s="8"/>
      <c r="R24" s="8"/>
      <c r="S24" s="8"/>
      <c r="T24" s="8"/>
      <c r="U24" s="8"/>
      <c r="V24" s="8"/>
      <c r="W24" s="8"/>
      <c r="X24" s="22"/>
      <c r="Y24" s="3"/>
      <c r="Z24" t="b">
        <f t="shared" si="2"/>
        <v>1</v>
      </c>
    </row>
    <row r="25" spans="1:26" x14ac:dyDescent="0.3">
      <c r="A25" s="3" t="str">
        <f t="shared" si="1"/>
        <v/>
      </c>
      <c r="B25" s="23"/>
      <c r="C25" s="8"/>
      <c r="D25" s="21"/>
      <c r="E25" s="23"/>
      <c r="F25" s="23"/>
      <c r="G25" s="8"/>
      <c r="H25" s="8"/>
      <c r="I25" s="8"/>
      <c r="J25" s="8"/>
      <c r="K25" s="22"/>
      <c r="L25" s="23"/>
      <c r="M25" s="8"/>
      <c r="N25" s="23"/>
      <c r="O25" s="23"/>
      <c r="P25" s="23"/>
      <c r="Q25" s="8"/>
      <c r="R25" s="8"/>
      <c r="S25" s="8"/>
      <c r="T25" s="8"/>
      <c r="U25" s="8"/>
      <c r="V25" s="8"/>
      <c r="W25" s="8"/>
      <c r="X25" s="22"/>
      <c r="Y25" s="3"/>
      <c r="Z25" t="b">
        <f t="shared" si="2"/>
        <v>1</v>
      </c>
    </row>
    <row r="26" spans="1:26" x14ac:dyDescent="0.3">
      <c r="A26" s="3" t="str">
        <f t="shared" si="1"/>
        <v/>
      </c>
      <c r="B26" s="23"/>
      <c r="C26" s="8"/>
      <c r="D26" s="21"/>
      <c r="E26" s="23"/>
      <c r="F26" s="23"/>
      <c r="G26" s="8"/>
      <c r="H26" s="8"/>
      <c r="I26" s="8"/>
      <c r="J26" s="8"/>
      <c r="K26" s="22"/>
      <c r="L26" s="23"/>
      <c r="M26" s="8"/>
      <c r="N26" s="23"/>
      <c r="O26" s="23"/>
      <c r="P26" s="23"/>
      <c r="Q26" s="8"/>
      <c r="R26" s="8"/>
      <c r="S26" s="8"/>
      <c r="T26" s="8"/>
      <c r="U26" s="8"/>
      <c r="V26" s="8"/>
      <c r="W26" s="8"/>
      <c r="X26" s="22"/>
      <c r="Y26" s="3"/>
      <c r="Z26" t="b">
        <f t="shared" si="2"/>
        <v>1</v>
      </c>
    </row>
    <row r="27" spans="1:26" x14ac:dyDescent="0.3">
      <c r="A27" s="3" t="str">
        <f t="shared" si="1"/>
        <v/>
      </c>
      <c r="B27" s="23"/>
      <c r="C27" s="8"/>
      <c r="D27" s="21"/>
      <c r="E27" s="23"/>
      <c r="F27" s="23"/>
      <c r="G27" s="8"/>
      <c r="H27" s="8"/>
      <c r="I27" s="8"/>
      <c r="J27" s="8"/>
      <c r="K27" s="22"/>
      <c r="L27" s="23"/>
      <c r="M27" s="8"/>
      <c r="N27" s="23"/>
      <c r="O27" s="23"/>
      <c r="P27" s="23"/>
      <c r="Q27" s="8"/>
      <c r="R27" s="8"/>
      <c r="S27" s="8"/>
      <c r="T27" s="8"/>
      <c r="U27" s="8"/>
      <c r="V27" s="8"/>
      <c r="W27" s="8"/>
      <c r="X27" s="22"/>
      <c r="Y27" s="3"/>
      <c r="Z27" t="b">
        <f t="shared" si="2"/>
        <v>1</v>
      </c>
    </row>
    <row r="28" spans="1:26" x14ac:dyDescent="0.3">
      <c r="A28" s="3" t="str">
        <f t="shared" si="1"/>
        <v/>
      </c>
      <c r="B28" s="23"/>
      <c r="C28" s="8"/>
      <c r="D28" s="21"/>
      <c r="E28" s="23"/>
      <c r="F28" s="23"/>
      <c r="G28" s="8"/>
      <c r="H28" s="8"/>
      <c r="I28" s="8"/>
      <c r="J28" s="8"/>
      <c r="K28" s="22"/>
      <c r="L28" s="23"/>
      <c r="M28" s="8"/>
      <c r="N28" s="23"/>
      <c r="O28" s="23"/>
      <c r="P28" s="23"/>
      <c r="Q28" s="8"/>
      <c r="R28" s="8"/>
      <c r="S28" s="8"/>
      <c r="T28" s="8"/>
      <c r="U28" s="8"/>
      <c r="V28" s="8"/>
      <c r="W28" s="8"/>
      <c r="X28" s="22"/>
      <c r="Y28" s="3"/>
      <c r="Z28" t="b">
        <f t="shared" si="2"/>
        <v>1</v>
      </c>
    </row>
    <row r="29" spans="1:26" x14ac:dyDescent="0.3">
      <c r="A29" s="3" t="str">
        <f t="shared" si="1"/>
        <v/>
      </c>
      <c r="B29" s="23"/>
      <c r="C29" s="8"/>
      <c r="D29" s="21"/>
      <c r="E29" s="23"/>
      <c r="F29" s="23"/>
      <c r="G29" s="8"/>
      <c r="H29" s="8"/>
      <c r="I29" s="8"/>
      <c r="J29" s="8"/>
      <c r="K29" s="22"/>
      <c r="L29" s="23"/>
      <c r="M29" s="8"/>
      <c r="N29" s="23"/>
      <c r="O29" s="23"/>
      <c r="P29" s="23"/>
      <c r="Q29" s="8"/>
      <c r="R29" s="8"/>
      <c r="S29" s="8"/>
      <c r="T29" s="8"/>
      <c r="U29" s="8"/>
      <c r="V29" s="8"/>
      <c r="W29" s="8"/>
      <c r="X29" s="22"/>
      <c r="Y29" s="3"/>
      <c r="Z29" t="b">
        <f t="shared" si="2"/>
        <v>1</v>
      </c>
    </row>
    <row r="30" spans="1:26" x14ac:dyDescent="0.3">
      <c r="A30" s="3" t="str">
        <f t="shared" si="1"/>
        <v/>
      </c>
      <c r="B30" s="23"/>
      <c r="C30" s="8"/>
      <c r="D30" s="21"/>
      <c r="E30" s="23"/>
      <c r="F30" s="23"/>
      <c r="G30" s="8"/>
      <c r="H30" s="8"/>
      <c r="I30" s="8"/>
      <c r="J30" s="8"/>
      <c r="K30" s="22"/>
      <c r="L30" s="23"/>
      <c r="M30" s="8"/>
      <c r="N30" s="23"/>
      <c r="O30" s="23"/>
      <c r="P30" s="23"/>
      <c r="Q30" s="8"/>
      <c r="R30" s="8"/>
      <c r="S30" s="8"/>
      <c r="T30" s="8"/>
      <c r="U30" s="8"/>
      <c r="V30" s="8"/>
      <c r="W30" s="8"/>
      <c r="X30" s="22"/>
      <c r="Y30" s="3"/>
      <c r="Z30" t="b">
        <f t="shared" si="2"/>
        <v>1</v>
      </c>
    </row>
    <row r="31" spans="1:26" x14ac:dyDescent="0.3">
      <c r="A31" s="3" t="str">
        <f t="shared" si="1"/>
        <v/>
      </c>
      <c r="B31" s="23"/>
      <c r="C31" s="8"/>
      <c r="D31" s="21"/>
      <c r="E31" s="23"/>
      <c r="F31" s="23"/>
      <c r="G31" s="8"/>
      <c r="H31" s="8"/>
      <c r="I31" s="8"/>
      <c r="J31" s="8"/>
      <c r="K31" s="22"/>
      <c r="L31" s="23"/>
      <c r="M31" s="8"/>
      <c r="N31" s="23"/>
      <c r="O31" s="23"/>
      <c r="P31" s="23"/>
      <c r="Q31" s="8"/>
      <c r="R31" s="8"/>
      <c r="S31" s="8"/>
      <c r="T31" s="8"/>
      <c r="U31" s="8"/>
      <c r="V31" s="8"/>
      <c r="W31" s="8"/>
      <c r="X31" s="22"/>
      <c r="Y31" s="3"/>
      <c r="Z31" t="b">
        <f t="shared" si="2"/>
        <v>1</v>
      </c>
    </row>
    <row r="32" spans="1:26" x14ac:dyDescent="0.3">
      <c r="A32" s="3" t="str">
        <f t="shared" si="1"/>
        <v/>
      </c>
      <c r="B32" s="23"/>
      <c r="C32" s="8"/>
      <c r="D32" s="21"/>
      <c r="E32" s="23"/>
      <c r="F32" s="23"/>
      <c r="G32" s="8"/>
      <c r="H32" s="8"/>
      <c r="I32" s="8"/>
      <c r="J32" s="8"/>
      <c r="K32" s="22"/>
      <c r="L32" s="23"/>
      <c r="M32" s="8"/>
      <c r="N32" s="23"/>
      <c r="O32" s="23"/>
      <c r="P32" s="23"/>
      <c r="Q32" s="8"/>
      <c r="R32" s="8"/>
      <c r="S32" s="8"/>
      <c r="T32" s="8"/>
      <c r="U32" s="8"/>
      <c r="V32" s="8"/>
      <c r="W32" s="8"/>
      <c r="X32" s="22"/>
      <c r="Y32" s="3"/>
      <c r="Z32" t="b">
        <f t="shared" si="2"/>
        <v>1</v>
      </c>
    </row>
    <row r="33" spans="1:26" x14ac:dyDescent="0.3">
      <c r="A33" s="3" t="str">
        <f t="shared" si="1"/>
        <v/>
      </c>
      <c r="B33" s="23"/>
      <c r="C33" s="8"/>
      <c r="D33" s="21"/>
      <c r="E33" s="23"/>
      <c r="F33" s="23"/>
      <c r="G33" s="8"/>
      <c r="H33" s="8"/>
      <c r="I33" s="8"/>
      <c r="J33" s="8"/>
      <c r="K33" s="22"/>
      <c r="L33" s="23"/>
      <c r="M33" s="8"/>
      <c r="N33" s="23"/>
      <c r="O33" s="23"/>
      <c r="P33" s="23"/>
      <c r="Q33" s="8"/>
      <c r="R33" s="8"/>
      <c r="S33" s="8"/>
      <c r="T33" s="8"/>
      <c r="U33" s="8"/>
      <c r="V33" s="8"/>
      <c r="W33" s="8"/>
      <c r="X33" s="22"/>
      <c r="Y33" s="3"/>
      <c r="Z33" t="b">
        <f t="shared" si="2"/>
        <v>1</v>
      </c>
    </row>
    <row r="34" spans="1:26" x14ac:dyDescent="0.3">
      <c r="A34" s="3" t="str">
        <f t="shared" si="1"/>
        <v/>
      </c>
      <c r="B34" s="23"/>
      <c r="C34" s="8"/>
      <c r="D34" s="21"/>
      <c r="E34" s="23"/>
      <c r="F34" s="23"/>
      <c r="G34" s="8"/>
      <c r="H34" s="8"/>
      <c r="I34" s="8"/>
      <c r="J34" s="8"/>
      <c r="K34" s="22"/>
      <c r="L34" s="23"/>
      <c r="M34" s="8"/>
      <c r="N34" s="23"/>
      <c r="O34" s="23"/>
      <c r="P34" s="23"/>
      <c r="Q34" s="8"/>
      <c r="R34" s="8"/>
      <c r="S34" s="8"/>
      <c r="T34" s="8"/>
      <c r="U34" s="8"/>
      <c r="V34" s="8"/>
      <c r="W34" s="8"/>
      <c r="X34" s="22"/>
      <c r="Y34" s="3"/>
      <c r="Z34" t="b">
        <f t="shared" si="2"/>
        <v>1</v>
      </c>
    </row>
    <row r="35" spans="1:26" x14ac:dyDescent="0.3">
      <c r="A35" s="3" t="str">
        <f t="shared" si="1"/>
        <v/>
      </c>
      <c r="B35" s="23"/>
      <c r="C35" s="8"/>
      <c r="D35" s="21"/>
      <c r="E35" s="23"/>
      <c r="F35" s="23"/>
      <c r="G35" s="8"/>
      <c r="H35" s="8"/>
      <c r="I35" s="8"/>
      <c r="J35" s="8"/>
      <c r="K35" s="22"/>
      <c r="L35" s="23"/>
      <c r="M35" s="8"/>
      <c r="N35" s="23"/>
      <c r="O35" s="23"/>
      <c r="P35" s="23"/>
      <c r="Q35" s="8"/>
      <c r="R35" s="8"/>
      <c r="S35" s="8"/>
      <c r="T35" s="8"/>
      <c r="U35" s="8"/>
      <c r="V35" s="8"/>
      <c r="W35" s="8"/>
      <c r="X35" s="22"/>
      <c r="Y35" s="3"/>
      <c r="Z35" t="b">
        <f t="shared" si="2"/>
        <v>1</v>
      </c>
    </row>
    <row r="36" spans="1:26" x14ac:dyDescent="0.3">
      <c r="A36" s="3" t="str">
        <f t="shared" si="1"/>
        <v/>
      </c>
      <c r="B36" s="23"/>
      <c r="C36" s="8"/>
      <c r="D36" s="21"/>
      <c r="E36" s="23"/>
      <c r="F36" s="23"/>
      <c r="G36" s="8"/>
      <c r="H36" s="8"/>
      <c r="I36" s="8"/>
      <c r="J36" s="8"/>
      <c r="K36" s="22"/>
      <c r="L36" s="23"/>
      <c r="M36" s="8"/>
      <c r="N36" s="23"/>
      <c r="O36" s="23"/>
      <c r="P36" s="23"/>
      <c r="Q36" s="8"/>
      <c r="R36" s="8"/>
      <c r="S36" s="8"/>
      <c r="T36" s="8"/>
      <c r="U36" s="8"/>
      <c r="V36" s="8"/>
      <c r="W36" s="8"/>
      <c r="X36" s="22"/>
      <c r="Y36" s="3"/>
      <c r="Z36" t="b">
        <f t="shared" si="2"/>
        <v>1</v>
      </c>
    </row>
    <row r="37" spans="1:26" x14ac:dyDescent="0.3">
      <c r="A37" s="3" t="str">
        <f t="shared" si="1"/>
        <v/>
      </c>
      <c r="B37" s="23"/>
      <c r="C37" s="8"/>
      <c r="D37" s="21"/>
      <c r="E37" s="23"/>
      <c r="F37" s="23"/>
      <c r="G37" s="8"/>
      <c r="H37" s="8"/>
      <c r="I37" s="8"/>
      <c r="J37" s="8"/>
      <c r="K37" s="22"/>
      <c r="L37" s="23"/>
      <c r="M37" s="8"/>
      <c r="N37" s="23"/>
      <c r="O37" s="23"/>
      <c r="P37" s="23"/>
      <c r="Q37" s="8"/>
      <c r="R37" s="8"/>
      <c r="S37" s="8"/>
      <c r="T37" s="8"/>
      <c r="U37" s="8"/>
      <c r="V37" s="8"/>
      <c r="W37" s="8"/>
      <c r="X37" s="22"/>
      <c r="Y37" s="3"/>
      <c r="Z37" t="b">
        <f t="shared" si="2"/>
        <v>1</v>
      </c>
    </row>
    <row r="38" spans="1:26" x14ac:dyDescent="0.3">
      <c r="A38" s="3" t="str">
        <f t="shared" si="1"/>
        <v/>
      </c>
      <c r="B38" s="23"/>
      <c r="C38" s="8"/>
      <c r="D38" s="21"/>
      <c r="E38" s="23"/>
      <c r="F38" s="23"/>
      <c r="G38" s="8"/>
      <c r="H38" s="8"/>
      <c r="I38" s="8"/>
      <c r="J38" s="8"/>
      <c r="K38" s="22"/>
      <c r="L38" s="23"/>
      <c r="M38" s="8"/>
      <c r="N38" s="23"/>
      <c r="O38" s="23"/>
      <c r="P38" s="23"/>
      <c r="Q38" s="8"/>
      <c r="R38" s="8"/>
      <c r="S38" s="8"/>
      <c r="T38" s="8"/>
      <c r="U38" s="8"/>
      <c r="V38" s="8"/>
      <c r="W38" s="8"/>
      <c r="X38" s="22"/>
      <c r="Y38" s="3"/>
      <c r="Z38" t="b">
        <f t="shared" si="2"/>
        <v>1</v>
      </c>
    </row>
  </sheetData>
  <sheetProtection algorithmName="SHA-512" hashValue="AdiXz/JpyUpABpigQPvPVdyoqkyTSTq+Ivyk1qstS5NQifH2s5l7dwIx3ms+ENoQZw4rPlQQqd66GlBrOwD4mw==" saltValue="6hPQjPaMejUfaStRi7V+Kg==" spinCount="100000" sheet="1" objects="1" scenarios="1"/>
  <mergeCells count="34">
    <mergeCell ref="B6:F6"/>
    <mergeCell ref="H15:I15"/>
    <mergeCell ref="B15:D15"/>
    <mergeCell ref="F15:G15"/>
    <mergeCell ref="E5:F5"/>
    <mergeCell ref="B8:L8"/>
    <mergeCell ref="B9:D10"/>
    <mergeCell ref="G9:H10"/>
    <mergeCell ref="B1:K1"/>
    <mergeCell ref="B2:F2"/>
    <mergeCell ref="B3:F3"/>
    <mergeCell ref="B4:F4"/>
    <mergeCell ref="B5:D5"/>
    <mergeCell ref="B13:D14"/>
    <mergeCell ref="E13:E14"/>
    <mergeCell ref="F13:G14"/>
    <mergeCell ref="H13:I14"/>
    <mergeCell ref="A13:A15"/>
    <mergeCell ref="J13:K14"/>
    <mergeCell ref="L13:M14"/>
    <mergeCell ref="N13:P14"/>
    <mergeCell ref="K9:K10"/>
    <mergeCell ref="L15:M15"/>
    <mergeCell ref="J15:K15"/>
    <mergeCell ref="Y13:Y16"/>
    <mergeCell ref="N1:T1"/>
    <mergeCell ref="S9:T9"/>
    <mergeCell ref="Z13:Z16"/>
    <mergeCell ref="Q13:T13"/>
    <mergeCell ref="U13:X13"/>
    <mergeCell ref="N9:P9"/>
    <mergeCell ref="N10:O10"/>
    <mergeCell ref="N11:O11"/>
    <mergeCell ref="V1:Y3"/>
  </mergeCells>
  <conditionalFormatting sqref="R10">
    <cfRule type="cellIs" dxfId="7" priority="3" operator="equal">
      <formula>FALSE</formula>
    </cfRule>
    <cfRule type="cellIs" dxfId="6" priority="5" operator="equal">
      <formula>TRUE</formula>
    </cfRule>
  </conditionalFormatting>
  <conditionalFormatting sqref="Y19:Y38">
    <cfRule type="cellIs" dxfId="5" priority="6" operator="lessThan">
      <formula>1.5</formula>
    </cfRule>
    <cfRule type="cellIs" dxfId="4" priority="7" operator="greaterThanOrEqual">
      <formula>1.5</formula>
    </cfRule>
  </conditionalFormatting>
  <conditionalFormatting sqref="Z19:Z38">
    <cfRule type="cellIs" dxfId="3" priority="1" operator="equal">
      <formula>FALSE</formula>
    </cfRule>
    <cfRule type="cellIs" dxfId="2" priority="2" operator="equal">
      <formula>TRUE</formula>
    </cfRule>
  </conditionalFormatting>
  <dataValidations count="10">
    <dataValidation type="list" allowBlank="1" showInputMessage="1" showErrorMessage="1" sqref="E5" xr:uid="{6838C533-270C-4B5A-A3A8-7DB9A77385BF}">
      <formula1>OFFSET(Soil_Cohesion,0,0,,1)</formula1>
    </dataValidation>
    <dataValidation type="decimal" allowBlank="1" showInputMessage="1" showErrorMessage="1" promptTitle="Permissible Range" prompt="0.10 to 0.45" sqref="H6" xr:uid="{8ADAA466-9585-4B91-ACF4-AF96F41CD2D1}">
      <formula1>0.1</formula1>
      <formula2>0.45</formula2>
    </dataValidation>
    <dataValidation type="whole" allowBlank="1" showInputMessage="1" showErrorMessage="1" promptTitle="Permissible Range" prompt="1200 to 2000" sqref="H3" xr:uid="{918651B8-9B75-48B5-BA1A-BB9127856131}">
      <formula1>1200</formula1>
      <formula2>2000</formula2>
    </dataValidation>
    <dataValidation type="whole" allowBlank="1" showInputMessage="1" showErrorMessage="1" promptTitle="Permissible Range" prompt="15 to 60" sqref="H4" xr:uid="{647EEBD4-36CF-4653-B698-3D458521CAD8}">
      <formula1>15</formula1>
      <formula2>60</formula2>
    </dataValidation>
    <dataValidation type="decimal" allowBlank="1" showInputMessage="1" showErrorMessage="1" promptTitle="Permissible Range" prompt="1.5 to 4 times the diameter of the pipe in m" sqref="N19:P38" xr:uid="{F926170E-0FD9-4475-BCB5-408CC2006FA4}">
      <formula1>1.5*D19</formula1>
      <formula2>4*D19</formula2>
    </dataValidation>
    <dataValidation type="whole" allowBlank="1" showInputMessage="1" showErrorMessage="1" promptTitle="Permissible Range" prompt="2200 to 2800" sqref="E9" xr:uid="{51F4AE66-3D1A-434D-A183-BF2D484841EB}">
      <formula1>2200</formula1>
      <formula2>2800</formula2>
    </dataValidation>
    <dataValidation type="whole" allowBlank="1" showInputMessage="1" showErrorMessage="1" promptTitle="Permissible Range" prompt="30 to 120" sqref="L9 L19:L38" xr:uid="{B9644B45-5316-4857-95C1-F3546967AB78}">
      <formula1>30</formula1>
      <formula2>120</formula2>
    </dataValidation>
    <dataValidation type="whole" allowBlank="1" showInputMessage="1" showErrorMessage="1" promptTitle="Permissible Range" prompt="100 to 2000" sqref="B19:B38" xr:uid="{AC8CCF5C-6F53-4357-A264-D7DB051B683E}">
      <formula1>100</formula1>
      <formula2>2000</formula2>
    </dataValidation>
    <dataValidation type="decimal" allowBlank="1" showInputMessage="1" showErrorMessage="1" promptTitle="Permissible Range" prompt="1 to 30" sqref="E19:E38" xr:uid="{BD6C6B5F-EFED-4661-8DA8-3D80E445474B}">
      <formula1>1</formula1>
      <formula2>30</formula2>
    </dataValidation>
    <dataValidation type="list" allowBlank="1" showInputMessage="1" showErrorMessage="1" sqref="F19:F38" xr:uid="{751BCC3F-D246-4532-A3B2-B2966AC4B5F0}">
      <formula1>"11.25,22.5,45,90"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8" orientation="landscape" r:id="rId1"/>
  <rowBreaks count="1" manualBreakCount="1">
    <brk id="1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CDEAE-A1F6-4F43-97A6-F6CFAE8BE24D}">
  <dimension ref="A1:J47"/>
  <sheetViews>
    <sheetView showGridLines="0" showRowColHeaders="0" workbookViewId="0">
      <selection activeCell="I7" sqref="I7"/>
    </sheetView>
  </sheetViews>
  <sheetFormatPr defaultRowHeight="14.4" x14ac:dyDescent="0.3"/>
  <cols>
    <col min="8" max="8" width="9.5546875" bestFit="1" customWidth="1"/>
  </cols>
  <sheetData>
    <row r="1" spans="1:10" ht="30" customHeight="1" thickBot="1" x14ac:dyDescent="0.35">
      <c r="A1" s="80" t="s">
        <v>110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x14ac:dyDescent="0.3">
      <c r="A2" s="55" t="s">
        <v>7</v>
      </c>
      <c r="B2" s="55"/>
      <c r="C2" s="55"/>
      <c r="D2" s="55"/>
      <c r="E2" s="55"/>
      <c r="F2" s="55"/>
      <c r="G2" s="55"/>
      <c r="H2" s="55"/>
    </row>
    <row r="3" spans="1:10" ht="16.2" x14ac:dyDescent="0.3">
      <c r="A3" s="66" t="s">
        <v>21</v>
      </c>
      <c r="B3" s="66"/>
      <c r="C3" s="66"/>
      <c r="D3" s="66"/>
      <c r="E3" s="66"/>
      <c r="F3" s="3"/>
      <c r="G3" s="3">
        <f>Abstract!J3</f>
        <v>1.8</v>
      </c>
      <c r="H3" s="3" t="s">
        <v>87</v>
      </c>
    </row>
    <row r="4" spans="1:10" x14ac:dyDescent="0.3">
      <c r="A4" s="66" t="s">
        <v>23</v>
      </c>
      <c r="B4" s="66"/>
      <c r="C4" s="66"/>
      <c r="D4" s="66"/>
      <c r="E4" s="66"/>
      <c r="F4" s="3"/>
      <c r="G4" s="3">
        <f>Abstract!J4</f>
        <v>0.52400000000000002</v>
      </c>
      <c r="H4" s="3" t="s">
        <v>34</v>
      </c>
    </row>
    <row r="5" spans="1:10" x14ac:dyDescent="0.3">
      <c r="A5" s="66" t="s">
        <v>27</v>
      </c>
      <c r="B5" s="66"/>
      <c r="C5" s="66" t="str">
        <f>Abstract!E5</f>
        <v>Gravel</v>
      </c>
      <c r="D5" s="66"/>
      <c r="E5" s="3" t="s">
        <v>28</v>
      </c>
      <c r="F5" s="5" t="s">
        <v>26</v>
      </c>
      <c r="G5" s="3">
        <f>Abstract!J5</f>
        <v>0</v>
      </c>
      <c r="H5" s="29"/>
    </row>
    <row r="6" spans="1:10" ht="15.6" x14ac:dyDescent="0.35">
      <c r="A6" s="66" t="s">
        <v>35</v>
      </c>
      <c r="B6" s="66"/>
      <c r="C6" s="66"/>
      <c r="D6" s="66"/>
      <c r="E6" s="66"/>
      <c r="F6" s="5" t="s">
        <v>36</v>
      </c>
      <c r="G6" s="3">
        <f>Abstract!J6</f>
        <v>0.3</v>
      </c>
      <c r="H6" s="29"/>
    </row>
    <row r="7" spans="1:10" x14ac:dyDescent="0.3">
      <c r="A7" s="65" t="s">
        <v>58</v>
      </c>
      <c r="B7" s="65"/>
      <c r="C7" s="65"/>
      <c r="D7" s="65"/>
      <c r="E7" s="65"/>
      <c r="F7" s="65"/>
      <c r="G7" s="65"/>
      <c r="H7" s="65"/>
    </row>
    <row r="8" spans="1:10" ht="14.4" customHeight="1" x14ac:dyDescent="0.3">
      <c r="A8" s="63" t="s">
        <v>59</v>
      </c>
      <c r="B8" s="63"/>
      <c r="C8" s="63"/>
      <c r="D8" s="63"/>
      <c r="E8" s="63"/>
      <c r="F8" s="3"/>
      <c r="G8" s="3">
        <f>Abstract!E10</f>
        <v>2.2999999999999998</v>
      </c>
      <c r="H8" s="30" t="s">
        <v>88</v>
      </c>
    </row>
    <row r="9" spans="1:10" ht="15" x14ac:dyDescent="0.3">
      <c r="A9" s="63" t="s">
        <v>65</v>
      </c>
      <c r="B9" s="63"/>
      <c r="C9" s="63"/>
      <c r="D9" s="63"/>
      <c r="E9" s="63"/>
      <c r="F9" s="3"/>
      <c r="G9" s="3">
        <f>Abstract!$I$10</f>
        <v>1</v>
      </c>
      <c r="H9" s="30" t="s">
        <v>88</v>
      </c>
    </row>
    <row r="10" spans="1:10" ht="10.050000000000001" customHeight="1" x14ac:dyDescent="0.3"/>
    <row r="11" spans="1:10" x14ac:dyDescent="0.3">
      <c r="B11" s="46" t="s">
        <v>81</v>
      </c>
      <c r="C11" s="46"/>
      <c r="D11" s="46"/>
      <c r="F11" t="s">
        <v>89</v>
      </c>
      <c r="H11" s="39">
        <v>1</v>
      </c>
    </row>
    <row r="12" spans="1:10" x14ac:dyDescent="0.3">
      <c r="B12" s="47"/>
      <c r="C12" s="47"/>
      <c r="D12" s="3">
        <f>Abstract!P10</f>
        <v>3.0030000000000001</v>
      </c>
    </row>
    <row r="13" spans="1:10" x14ac:dyDescent="0.3">
      <c r="B13" s="47"/>
      <c r="C13" s="47"/>
      <c r="D13" s="3">
        <f>Abstract!P11</f>
        <v>0.33300000000000002</v>
      </c>
    </row>
    <row r="14" spans="1:10" ht="10.050000000000001" customHeight="1" x14ac:dyDescent="0.3"/>
    <row r="15" spans="1:10" x14ac:dyDescent="0.3">
      <c r="A15" s="28" t="s">
        <v>37</v>
      </c>
      <c r="B15" t="s">
        <v>94</v>
      </c>
      <c r="I15" s="33">
        <f>IFERROR(VLOOKUP($H$11,Design_Data,4,FALSE),"")</f>
        <v>0.9</v>
      </c>
      <c r="J15" t="s">
        <v>10</v>
      </c>
    </row>
    <row r="16" spans="1:10" ht="16.2" x14ac:dyDescent="0.3">
      <c r="A16" s="28" t="s">
        <v>39</v>
      </c>
      <c r="B16" t="s">
        <v>95</v>
      </c>
      <c r="F16" t="str">
        <f>IFERROR(VLOOKUP($H$11,Design_Data,5,FALSE),"") &amp; " kg/sq.cm x 10000/1000"</f>
        <v>11 kg/sq.cm x 10000/1000</v>
      </c>
      <c r="I16" s="33">
        <f>IFERROR(10*VLOOKUP($H$11,Design_Data,5,FALSE),"")</f>
        <v>110</v>
      </c>
      <c r="J16" t="s">
        <v>91</v>
      </c>
    </row>
    <row r="17" spans="1:10" x14ac:dyDescent="0.3">
      <c r="A17" s="28" t="s">
        <v>38</v>
      </c>
      <c r="B17" s="34" t="s">
        <v>96</v>
      </c>
      <c r="I17" s="33">
        <f>IFERROR(VLOOKUP($H$11,Design_Data,7,FALSE),"")</f>
        <v>0.78500000000000003</v>
      </c>
      <c r="J17" t="s">
        <v>92</v>
      </c>
    </row>
    <row r="18" spans="1:10" ht="16.2" x14ac:dyDescent="0.3">
      <c r="A18" s="28" t="s">
        <v>40</v>
      </c>
      <c r="B18" t="s">
        <v>90</v>
      </c>
      <c r="I18" s="33">
        <f>IFERROR(VLOOKUP($H$11,Design_Data,9,FALSE),"")</f>
        <v>0.64</v>
      </c>
      <c r="J18" t="s">
        <v>93</v>
      </c>
    </row>
    <row r="20" spans="1:10" x14ac:dyDescent="0.3">
      <c r="A20" s="28" t="s">
        <v>41</v>
      </c>
      <c r="B20" s="67" t="s">
        <v>3</v>
      </c>
      <c r="C20" s="67"/>
      <c r="E20" s="1" t="s">
        <v>2</v>
      </c>
      <c r="F20" t="str">
        <f>"2 x " &amp; I16 &amp; " x " &amp;I18&amp;" x Sin("&amp; I17 &amp;"/2)"</f>
        <v>2 x 110 x 0.64 x Sin(0.785/2)</v>
      </c>
      <c r="I20" s="35">
        <f>IFERROR(VLOOKUP($H$11,Design_Data,11,FALSE),"")</f>
        <v>53.54</v>
      </c>
      <c r="J20" t="s">
        <v>4</v>
      </c>
    </row>
    <row r="22" spans="1:10" x14ac:dyDescent="0.3">
      <c r="A22" s="28" t="s">
        <v>53</v>
      </c>
      <c r="B22" s="34" t="s">
        <v>52</v>
      </c>
      <c r="I22" s="33">
        <f>IFERROR(VLOOKUP($H$11,Design_Data,13,FALSE),"")</f>
        <v>0.6</v>
      </c>
      <c r="J22" t="s">
        <v>10</v>
      </c>
    </row>
    <row r="23" spans="1:10" x14ac:dyDescent="0.3">
      <c r="A23" s="28" t="s">
        <v>55</v>
      </c>
      <c r="B23" t="s">
        <v>97</v>
      </c>
      <c r="I23" s="33">
        <f>IFERROR(VLOOKUP($H$11,Design_Data,14,FALSE),"")</f>
        <v>3.2</v>
      </c>
      <c r="J23" t="s">
        <v>10</v>
      </c>
    </row>
    <row r="24" spans="1:10" x14ac:dyDescent="0.3">
      <c r="A24" s="28" t="s">
        <v>56</v>
      </c>
      <c r="B24" t="s">
        <v>98</v>
      </c>
      <c r="I24" s="33">
        <f>IFERROR(VLOOKUP($H$11,Design_Data,15,FALSE),"")</f>
        <v>3.2</v>
      </c>
      <c r="J24" t="s">
        <v>10</v>
      </c>
    </row>
    <row r="25" spans="1:10" x14ac:dyDescent="0.3">
      <c r="A25" s="28" t="s">
        <v>57</v>
      </c>
      <c r="B25" t="s">
        <v>99</v>
      </c>
      <c r="I25" s="33">
        <f>IFERROR(VLOOKUP($H$11,Design_Data,16,FALSE),"")</f>
        <v>3.2</v>
      </c>
      <c r="J25" t="s">
        <v>10</v>
      </c>
    </row>
    <row r="26" spans="1:10" ht="10.050000000000001" customHeight="1" x14ac:dyDescent="0.3"/>
    <row r="27" spans="1:10" x14ac:dyDescent="0.3">
      <c r="B27" s="36" t="s">
        <v>100</v>
      </c>
    </row>
    <row r="28" spans="1:10" ht="15.6" x14ac:dyDescent="0.35">
      <c r="A28" s="28" t="s">
        <v>63</v>
      </c>
      <c r="B28" t="s">
        <v>101</v>
      </c>
      <c r="F28" t="str">
        <f>"= "&amp;G8&amp;" x " &amp;I23&amp;" x " &amp; I24&amp; " x " &amp;I25 &amp; " = "</f>
        <v xml:space="preserve">= 2.3 x 3.2 x 3.2 x 3.2 = </v>
      </c>
      <c r="I28" s="33">
        <f>IFERROR(VLOOKUP($H$11,Design_Data,17,FALSE),"")</f>
        <v>75.37</v>
      </c>
      <c r="J28" t="s">
        <v>4</v>
      </c>
    </row>
    <row r="29" spans="1:10" ht="15.6" x14ac:dyDescent="0.35">
      <c r="A29" s="28" t="s">
        <v>68</v>
      </c>
      <c r="B29" t="s">
        <v>102</v>
      </c>
      <c r="F29" t="str">
        <f>"="&amp;G9&amp;" x " &amp; I18 &amp; " x " &amp; I23 &amp; " = "</f>
        <v xml:space="preserve">=1 x 0.64 x 3.2 = </v>
      </c>
      <c r="I29" s="33">
        <f>IFERROR(VLOOKUP($H$11,Design_Data,18,FALSE),"")</f>
        <v>2.0499999999999998</v>
      </c>
      <c r="J29" t="s">
        <v>4</v>
      </c>
    </row>
    <row r="30" spans="1:10" x14ac:dyDescent="0.3">
      <c r="A30" s="28" t="s">
        <v>69</v>
      </c>
      <c r="B30" t="s">
        <v>103</v>
      </c>
      <c r="F30" t="str">
        <f>"= "&amp;G3&amp;" x " &amp;I24&amp;" x "&amp;I15&amp;" x x"&amp;I22&amp;" ="</f>
        <v>= 1.8 x 3.2 x 0.9 x x0.6 =</v>
      </c>
      <c r="I30" s="33">
        <f>IFERROR(VLOOKUP($H$11,Design_Data,19,FALSE),"")</f>
        <v>3.11</v>
      </c>
      <c r="J30" t="s">
        <v>4</v>
      </c>
    </row>
    <row r="31" spans="1:10" x14ac:dyDescent="0.3">
      <c r="A31" s="28" t="s">
        <v>71</v>
      </c>
      <c r="B31" t="s">
        <v>104</v>
      </c>
      <c r="F31" t="str">
        <f>"= "&amp;I28&amp;" + "&amp;I29&amp;" + "&amp;I30&amp;" ="</f>
        <v>= 75.37 + 2.05 + 3.11 =</v>
      </c>
      <c r="I31" s="33">
        <f>IFERROR(VLOOKUP($H$11,Design_Data,20,FALSE),"")</f>
        <v>80.53</v>
      </c>
      <c r="J31" t="s">
        <v>4</v>
      </c>
    </row>
    <row r="33" spans="1:10" x14ac:dyDescent="0.3">
      <c r="B33" s="36" t="s">
        <v>9</v>
      </c>
    </row>
    <row r="34" spans="1:10" ht="15.6" x14ac:dyDescent="0.35">
      <c r="A34" s="28" t="s">
        <v>78</v>
      </c>
      <c r="B34" t="s">
        <v>105</v>
      </c>
      <c r="G34" t="str">
        <f>"= "&amp; G6&amp;" x " &amp;I31 &amp; " ="</f>
        <v>= 0.3 x 80.53 =</v>
      </c>
      <c r="I34" s="33">
        <f>IFERROR(VLOOKUP($H$11,Design_Data,21,FALSE),"")</f>
        <v>24.16</v>
      </c>
      <c r="J34" t="s">
        <v>4</v>
      </c>
    </row>
    <row r="35" spans="1:10" ht="15.6" x14ac:dyDescent="0.35">
      <c r="A35" s="28" t="s">
        <v>76</v>
      </c>
    </row>
    <row r="38" spans="1:10" x14ac:dyDescent="0.3">
      <c r="B38" t="str">
        <f>"= ["&amp;G3&amp;" x ("&amp;I25&amp;"^2) x "&amp;I23&amp;" x "&amp;D12&amp;"/2] + [2 x "&amp;G5&amp;" x "&amp;I25&amp;" x "&amp;I23&amp;" x SQRT("&amp;D12&amp;")]="</f>
        <v>= [1.8 x (3.2^2) x 3.2 x 3.003/2] + [2 x 0 x 3.2 x 3.2 x SQRT(3.003)]=</v>
      </c>
      <c r="I38" s="33">
        <f>IFERROR(VLOOKUP($H$11,Design_Data,22,FALSE),"")</f>
        <v>88.56</v>
      </c>
      <c r="J38" t="s">
        <v>4</v>
      </c>
    </row>
    <row r="39" spans="1:10" ht="15.6" x14ac:dyDescent="0.35">
      <c r="A39" s="28" t="s">
        <v>77</v>
      </c>
    </row>
    <row r="42" spans="1:10" x14ac:dyDescent="0.3">
      <c r="D42" t="str">
        <f>"= ["&amp;G3&amp;" x "&amp;I15&amp; " x " &amp;D13&amp; "] +[ 2 x  "&amp;G5&amp;" x SQRT("&amp;D13&amp;")] = "</f>
        <v xml:space="preserve">= [1.8 x 0.9 x 0.333] +[ 2 x  0 x SQRT(0.333)] = </v>
      </c>
      <c r="I42" s="33">
        <f>IFERROR(VLOOKUP($H$11,Design_Data,23,FALSE),"")</f>
        <v>0.54</v>
      </c>
      <c r="J42" t="s">
        <v>4</v>
      </c>
    </row>
    <row r="43" spans="1:10" ht="15.6" x14ac:dyDescent="0.35">
      <c r="A43" s="28" t="s">
        <v>79</v>
      </c>
      <c r="B43" t="s">
        <v>106</v>
      </c>
      <c r="F43" t="str">
        <f>"= "&amp;I34&amp; " + "&amp;I38&amp; " + "&amp;I42&amp;" ="</f>
        <v>= 24.16 + 88.56 + 0.54 =</v>
      </c>
      <c r="I43" s="37">
        <f>IFERROR(VLOOKUP($H$11,Design_Data,24,FALSE),"")</f>
        <v>113.26</v>
      </c>
      <c r="J43" t="s">
        <v>4</v>
      </c>
    </row>
    <row r="45" spans="1:10" x14ac:dyDescent="0.3">
      <c r="B45" t="s">
        <v>107</v>
      </c>
      <c r="I45" s="38">
        <f>IFERROR(VLOOKUP($H$11,Design_Data,25,FALSE),"")</f>
        <v>2.12</v>
      </c>
    </row>
    <row r="47" spans="1:10" x14ac:dyDescent="0.3">
      <c r="B47" s="68" t="str">
        <f>IF(I45&gt;=1.5,"Factor of Safety &gt;= 1.5, Hence Design is Safe","Factor of Safety &lt; 1.5, Hence Design is Unsafe")</f>
        <v>Factor of Safety &gt;= 1.5, Hence Design is Safe</v>
      </c>
      <c r="C47" s="68"/>
      <c r="D47" s="68"/>
      <c r="E47" s="68"/>
      <c r="F47" s="68"/>
      <c r="G47" s="68"/>
      <c r="H47" s="68"/>
      <c r="I47" s="68"/>
      <c r="J47" s="68"/>
    </row>
  </sheetData>
  <sheetProtection algorithmName="SHA-512" hashValue="arPjaTMqHx1h3wgSYL42e/XgE2kWVtDDXOWq62L0xC7o5fPZyswp0CgyDm77kvA+oBuEmavhQ5Yc/XHPt3oqfg==" saltValue="WwZP60NofVr2k0H242qNzQ==" spinCount="100000" sheet="1" objects="1" scenarios="1"/>
  <mergeCells count="15">
    <mergeCell ref="A1:J1"/>
    <mergeCell ref="B13:C13"/>
    <mergeCell ref="B20:C20"/>
    <mergeCell ref="B47:J47"/>
    <mergeCell ref="A8:E8"/>
    <mergeCell ref="A9:E9"/>
    <mergeCell ref="A2:H2"/>
    <mergeCell ref="A7:H7"/>
    <mergeCell ref="B11:D11"/>
    <mergeCell ref="B12:C12"/>
    <mergeCell ref="A3:E3"/>
    <mergeCell ref="A4:E4"/>
    <mergeCell ref="A5:B5"/>
    <mergeCell ref="C5:D5"/>
    <mergeCell ref="A6:E6"/>
  </mergeCells>
  <conditionalFormatting sqref="I45">
    <cfRule type="cellIs" dxfId="1" priority="1" operator="lessThan">
      <formula>1.5</formula>
    </cfRule>
    <cfRule type="cellIs" dxfId="0" priority="2" operator="greaterThanOrEqual">
      <formula>1.5</formula>
    </cfRule>
  </conditionalFormatting>
  <dataValidations count="1">
    <dataValidation type="list" allowBlank="1" showInputMessage="1" showErrorMessage="1" sqref="H11" xr:uid="{635A7E19-91A5-4DAA-99CA-7EA5AA2C0C2A}">
      <formula1>OFFSET(Design_Data,0,0,,1)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C1B2E-1982-4EEE-9945-A74D9DDC6DFF}">
  <dimension ref="A1:F14"/>
  <sheetViews>
    <sheetView workbookViewId="0">
      <selection activeCell="A9" sqref="A9"/>
    </sheetView>
  </sheetViews>
  <sheetFormatPr defaultRowHeight="14.4" x14ac:dyDescent="0.3"/>
  <cols>
    <col min="1" max="1" width="18.33203125" customWidth="1"/>
    <col min="3" max="3" width="11.77734375" bestFit="1" customWidth="1"/>
    <col min="5" max="5" width="10.44140625" bestFit="1" customWidth="1"/>
  </cols>
  <sheetData>
    <row r="1" spans="1:6" x14ac:dyDescent="0.3">
      <c r="A1" t="s">
        <v>17</v>
      </c>
      <c r="C1" s="69" t="s">
        <v>16</v>
      </c>
      <c r="D1" s="69"/>
      <c r="E1" s="69"/>
      <c r="F1" s="69"/>
    </row>
    <row r="2" spans="1:6" x14ac:dyDescent="0.3">
      <c r="A2" t="s">
        <v>12</v>
      </c>
      <c r="C2" t="s">
        <v>11</v>
      </c>
      <c r="D2" t="s">
        <v>13</v>
      </c>
      <c r="E2" t="s">
        <v>14</v>
      </c>
      <c r="F2" t="s">
        <v>15</v>
      </c>
    </row>
    <row r="3" spans="1:6" x14ac:dyDescent="0.3">
      <c r="A3" t="s">
        <v>18</v>
      </c>
      <c r="C3" t="s">
        <v>12</v>
      </c>
    </row>
    <row r="9" spans="1:6" x14ac:dyDescent="0.3">
      <c r="A9" s="2" t="s">
        <v>27</v>
      </c>
      <c r="B9" s="2" t="s">
        <v>28</v>
      </c>
    </row>
    <row r="10" spans="1:6" x14ac:dyDescent="0.3">
      <c r="A10" s="3" t="s">
        <v>29</v>
      </c>
      <c r="B10" s="3">
        <v>0</v>
      </c>
    </row>
    <row r="11" spans="1:6" x14ac:dyDescent="0.3">
      <c r="A11" s="3" t="s">
        <v>30</v>
      </c>
      <c r="B11" s="3">
        <v>0</v>
      </c>
    </row>
    <row r="12" spans="1:6" x14ac:dyDescent="0.3">
      <c r="A12" s="3" t="s">
        <v>31</v>
      </c>
      <c r="B12" s="3">
        <v>7.0000000000000001E-3</v>
      </c>
    </row>
    <row r="13" spans="1:6" x14ac:dyDescent="0.3">
      <c r="A13" s="3" t="s">
        <v>32</v>
      </c>
      <c r="B13" s="3">
        <v>3.5000000000000003E-2</v>
      </c>
    </row>
    <row r="14" spans="1:6" x14ac:dyDescent="0.3">
      <c r="A14" s="3" t="s">
        <v>33</v>
      </c>
      <c r="B14" s="3">
        <v>0.15</v>
      </c>
    </row>
  </sheetData>
  <mergeCells count="1">
    <mergeCell ref="C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Abstract</vt:lpstr>
      <vt:lpstr>Thrust Block Design</vt:lpstr>
      <vt:lpstr>Database</vt:lpstr>
      <vt:lpstr>Design_Data</vt:lpstr>
      <vt:lpstr>Abstract!Print_Area</vt:lpstr>
      <vt:lpstr>Soil_Cohesion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Narasimha Rao Yaganti</dc:creator>
  <cp:lastModifiedBy>Narasimha Rao Yaganti</cp:lastModifiedBy>
  <cp:lastPrinted>2025-12-07T17:28:49Z</cp:lastPrinted>
  <dcterms:created xsi:type="dcterms:W3CDTF">2015-06-05T18:17:20Z</dcterms:created>
  <dcterms:modified xsi:type="dcterms:W3CDTF">2025-12-07T17:31:05Z</dcterms:modified>
</cp:coreProperties>
</file>